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harepoint.viamundi.info/site/QuarterlyFinancialCommunication/Documents/1.Analysts&amp;Investors/3.FinSuppl/"/>
    </mc:Choice>
  </mc:AlternateContent>
  <xr:revisionPtr revIDLastSave="0" documentId="13_ncr:1_{061D08CF-506D-4569-B222-E2077499D06E}" xr6:coauthVersionLast="47" xr6:coauthVersionMax="47" xr10:uidLastSave="{00000000-0000-0000-0000-000000000000}"/>
  <bookViews>
    <workbookView xWindow="30612" yWindow="-108" windowWidth="30936" windowHeight="16776" tabRatio="760" xr2:uid="{72D08CBD-1132-4D69-9B0C-87FFEDA7996E}"/>
  </bookViews>
  <sheets>
    <sheet name="Content" sheetId="2" r:id="rId1"/>
    <sheet name="P&amp;L &amp; Consensus" sheetId="17" r:id="rId2"/>
    <sheet name="Group P&amp;L (2025 pro forma)" sheetId="14" r:id="rId3"/>
    <sheet name="Amundi US - P&amp;L contribution" sheetId="13" r:id="rId4"/>
    <sheet name="Group P&amp;L (2025 Historical)" sheetId="1" r:id="rId5"/>
    <sheet name="Assets &amp; flows-by segments" sheetId="3" r:id="rId6"/>
    <sheet name="Assets &amp; flows-by asset classes" sheetId="4" r:id="rId7"/>
    <sheet name="Assets &amp; flows-by geographies" sheetId="5" r:id="rId8"/>
    <sheet name="Shareholding" sheetId="9" r:id="rId9"/>
    <sheet name="UPSLIDE_UndoFormatting" sheetId="11" state="hidden" r:id="rId10"/>
    <sheet name="UPSLIDE_Undo" sheetId="10" state="hidden" r:id="rId11"/>
  </sheets>
  <definedNames>
    <definedName name="___q6" localSheetId="1" hidden="1">#REF!</definedName>
    <definedName name="___q6" hidden="1">#REF!</definedName>
    <definedName name="___thinkcellH0YAAAAAAAACAAAA6Hvh.kDYDEq4wsa_c3bnpg" hidden="1">#REF!</definedName>
    <definedName name="__123Graph_A" hidden="1">#REF!</definedName>
    <definedName name="__123Graph_AAMORT" hidden="1">#REF!</definedName>
    <definedName name="__123Graph_ACRESCITA" hidden="1">#REF!</definedName>
    <definedName name="__123Graph_ADELIVERY" hidden="1">#REF!</definedName>
    <definedName name="__123Graph_AENCOURS" hidden="1">#REF!</definedName>
    <definedName name="__123Graph_AGRAPH1" hidden="1">#REF!</definedName>
    <definedName name="__123Graph_AGRAPH2" hidden="1">#REF!</definedName>
    <definedName name="__123Graph_AGRAPH3" hidden="1">#REF!</definedName>
    <definedName name="__123Graph_AINDEX" hidden="1">#REF!</definedName>
    <definedName name="__123Graph_B" localSheetId="1" hidden="1">#REF!</definedName>
    <definedName name="__123Graph_B" hidden="1">#REF!</definedName>
    <definedName name="__123Graph_BAMORT" hidden="1">#REF!</definedName>
    <definedName name="__123Graph_BENCOURS" hidden="1">#REF!</definedName>
    <definedName name="__123Graph_BGRAPH1" hidden="1">#REF!</definedName>
    <definedName name="__123Graph_BGRAPH2" hidden="1">#REF!</definedName>
    <definedName name="__123Graph_BINDEX" localSheetId="1" hidden="1">#REF!</definedName>
    <definedName name="__123Graph_BINDEX" hidden="1">#REF!</definedName>
    <definedName name="__123Graph_BPROD" hidden="1">#REF!</definedName>
    <definedName name="__123Graph_C" hidden="1">#REF!</definedName>
    <definedName name="__123Graph_CAMORT" hidden="1">#REF!</definedName>
    <definedName name="__123Graph_CENCOURS" hidden="1">#REF!</definedName>
    <definedName name="__123Graph_CGRAPH1" hidden="1">#REF!</definedName>
    <definedName name="__123Graph_CGRAPH2" hidden="1">#REF!</definedName>
    <definedName name="__123Graph_CINDEX" hidden="1">#REF!</definedName>
    <definedName name="__123Graph_CPROD" hidden="1">#REF!</definedName>
    <definedName name="__123Graph_D" hidden="1">#REF!</definedName>
    <definedName name="__123Graph_DGRAPH1" hidden="1">#REF!</definedName>
    <definedName name="__123Graph_DGRAPH2" hidden="1">#REF!</definedName>
    <definedName name="__123Graph_EGRAPH1" hidden="1">#REF!</definedName>
    <definedName name="__123Graph_F" hidden="1">#REF!</definedName>
    <definedName name="__123Graph_X" hidden="1">#REF!</definedName>
    <definedName name="__123Graph_XCRESCITA" hidden="1">#REF!</definedName>
    <definedName name="__123Graph_XDELIVERY" hidden="1">#REF!</definedName>
    <definedName name="__123Graph_XENCOURS" hidden="1">#REF!</definedName>
    <definedName name="__123Graph_XGRAPH1" hidden="1">#REF!</definedName>
    <definedName name="__123Graph_XGRAPH2" hidden="1">#REF!</definedName>
    <definedName name="__123Graph_XGRAPH3" hidden="1">#REF!</definedName>
    <definedName name="__123Graph_XINDEX" hidden="1">#REF!</definedName>
    <definedName name="__123Graph_XPROD" hidden="1">#REF!</definedName>
    <definedName name="__aa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FDS_HYPERLINK_TOGGLE_STATE__" hidden="1">"ON"</definedName>
    <definedName name="__FDS_UNIQUE_RANGE_ID_GENERATOR_COUNTER" hidden="1">1</definedName>
    <definedName name="__IntlFixup" hidden="1">TRUE</definedName>
    <definedName name="__ob99" localSheetId="1" hidden="1">{#N/A,#N/A,FALSE,"SINTESI GESTIONALE";#N/A,#N/A,FALSE,"all.1 - LAVORO";#N/A,#N/A,FALSE,"all. 2 - SPESE AMM.TIVE";#N/A,#N/A,FALSE," SINTESI CIVILISTICO";#N/A,#N/A,FALSE,"Commerciale"}</definedName>
    <definedName name="__ob99" hidden="1">{#N/A,#N/A,FALSE,"SINTESI GESTIONALE";#N/A,#N/A,FALSE,"all.1 - LAVORO";#N/A,#N/A,FALSE,"all. 2 - SPESE AMM.TIVE";#N/A,#N/A,FALSE," SINTESI CIVILISTICO";#N/A,#N/A,FALSE,"Commerciale"}</definedName>
    <definedName name="__q6" localSheetId="1" hidden="1">#REF!</definedName>
    <definedName name="__q6" hidden="1">#REF!</definedName>
    <definedName name="__u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u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1__123Graph_ACHART_1" hidden="1">#REF!</definedName>
    <definedName name="_2__123Graph_ACHART_1" hidden="1">#REF!</definedName>
    <definedName name="_2__123Graph_XCHART_1" hidden="1">#REF!</definedName>
    <definedName name="_4__123Graph_ACHART_1" localSheetId="1" hidden="1">#REF!</definedName>
    <definedName name="_4__123Graph_ACHART_1" hidden="1">#REF!</definedName>
    <definedName name="_4__123Graph_XCHART_1" hidden="1">#REF!</definedName>
    <definedName name="_6__123Graph_XCHART_1" localSheetId="1" hidden="1">#REF!</definedName>
    <definedName name="_6__123Graph_XCHART_1" hidden="1">#REF!</definedName>
    <definedName name="_aa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MO_ContentDefinition_418773508.15" hidden="1">"'on_"" v=""9.2"" /&gt;_x000D_
  &lt;param n=""maxReportCols"" v=""57"" /&gt;_x000D_
  &lt;fids n=""main.srx"" v=""0"" /&gt;_x000D_
  &lt;ExcelXMLOptions AdjColWidths=""True"" RowOpt=""InsertEntire"" ColOpt=""InsertCells"" /&gt;_x000D_
&lt;/ContentDefinition&gt;'"</definedName>
    <definedName name="_AMO_ContentDefinition_75347770" hidden="1">"'Partitions:13'"</definedName>
    <definedName name="_AMO_ContentDefinition_75347770.0" hidden="1">"'&lt;ContentDefinition name=""Hierarchy TU-TR"" rsid=""75347770"" type=""StoredProcess"" format=""ReportXml"" imgfmt=""ActiveX"" created=""10/21/2013 10:30:36"" modifed=""01/14/2014 09:25:50"" user=""Bankers Risques"" apply=""True"" thread=""Background""'"</definedName>
    <definedName name="_AMO_ContentDefinition_75347770.1" hidden="1">"' css=""C:\Program Files\SAS\Add-InForMicrosoftOffice\4.3\Styles\AMODefault.css"" range=""Hierarchy_TU_TR_4_2_2_2"" auto=""False"" xTime=""00:07:02.1228825"" rTime=""00:01:45.0189855"" bgnew=""False"" nFmt=""True"" grphSet=""True"" imgY=""0"" imgX=""0'"</definedName>
    <definedName name="_AMO_ContentDefinition_75347770.10" hidden="1">"'eis Bank Luxembourg/Risk dpt/Queries DSI/Hierarchy TU-TR&amp;lt;/SBIP&amp;gt;&amp;#xD;&amp;#xA;  &amp;lt;Path&amp;gt;/Shared Data/Caceis Bank Luxembourg/Risk dpt/Queries DSI/Hierarchy TU-TR&amp;lt;/Path&amp;gt;&amp;#xD;&amp;#xA;&amp;lt;/DNA&amp;gt;"" /&gt;_x000D_
  &lt;param n=""ServerName"" v=""FBIApp"" /&gt;_x000D_
 '"</definedName>
    <definedName name="_AMO_ContentDefinition_75347770.11" hidden="1">"' &lt;param n=""ClassName"" v=""SAS.OfficeAddin.StoredProcess"" /&gt;_x000D_
  &lt;param n=""UnselectedIds"" v="""" /&gt;_x000D_
  &lt;param n=""_ROM_Version_"" v=""1.2"" /&gt;_x000D_
  &lt;param n=""_ROM_Application_"" v=""ODS"" /&gt;_x000D_
  &lt;param n=""_ROM_AppVersion_"" v=""9.3"" /&gt;_x000D_
  &lt;param'"</definedName>
    <definedName name="_AMO_ContentDefinition_75347770.12" hidden="1">"' n=""maxReportCols"" v=""7"" /&gt;_x000D_
  &lt;fids n=""main.srx"" v=""0"" /&gt;_x000D_
  &lt;ExcelXMLOptions AdjColWidths=""True"" RowOpt=""InsertEntire"" ColOpt=""InsertCells"" /&gt;_x000D_
&lt;/ContentDefinition&gt;'"</definedName>
    <definedName name="_AMO_ContentDefinition_75347770.2" hidden="1">"'""&gt;_x000D_
  &lt;files&gt;\My SAS Files\Add-In for Microsoft Office\_SOA_A5S0WONK.BF0002PQ_215844854\main.srx&lt;/files&gt;_x000D_
  &lt;parents /&gt;_x000D_
  &lt;children /&gt;_x000D_
  &lt;param n=""DisplayName"" v=""Hierarchy TU-TR"" /&gt;_x000D_
  &lt;param n=""DisplayType"" v=""Stored Process"" /&gt;_x000D_
  &lt;para'"</definedName>
    <definedName name="_AMO_ContentDefinition_75347770.3" hidden="1">"'m n=""RawValues"" v=""True"" /&gt;_x000D_
  &lt;param n=""AMO_Version"" v=""4.3"" /&gt;_x000D_
  &lt;param n=""Prompts"" v=""&amp;lt;PromptValues obj=&amp;quot;p1&amp;quot; version=&amp;quot;1.0&amp;quot;&amp;gt;&amp;lt;DefinitionReferencesAndValues&amp;gt;&amp;lt;PromptDefinitionReference obj=&amp;quot;p2&amp;quot; p'"</definedName>
    <definedName name="_AMO_ContentDefinition_75347770.4" hidden="1">"'romptId=&amp;quot;PromptDef_1319547229331_171900&amp;quot; name=&amp;quot;DATE_SELECTION&amp;quot; definitionType=&amp;quot;TextDefinition&amp;quot; selectionType=&amp;quot;Single&amp;quot;&amp;gt;&amp;lt;Value&amp;gt;&amp;lt;String obj=&amp;quot;p3&amp;quot; value=&amp;quot;LAST_DATE&amp;quot; /&amp;gt;&amp;lt;/Value&amp;gt;'"</definedName>
    <definedName name="_AMO_ContentDefinition_75347770.5" hidden="1">"'&amp;lt;/PromptDefinitionReference&amp;gt;&amp;lt;PromptDefinitionReference obj=&amp;quot;p4&amp;quot; promptId=&amp;quot;PromptDef_1319459457156_858062&amp;quot; name=&amp;quot;ETY_CDE&amp;quot; definitionType=&amp;quot;TextDefinition&amp;quot; selectionType=&amp;quot;Single&amp;quot;&amp;gt;&amp;lt;Value&amp;gt;'"</definedName>
    <definedName name="_AMO_ContentDefinition_75347770.6" hidden="1">"'&amp;lt;String obj=&amp;quot;p5&amp;quot; value=&amp;quot;CBL&amp;quot; /&amp;gt;&amp;lt;/Value&amp;gt;&amp;lt;/PromptDefinitionReference&amp;gt;&amp;lt;PromptDefinitionReference obj=&amp;quot;p6&amp;quot; promptId=&amp;quot;PromptDef_1319565073488_576249&amp;quot; name=&amp;quot;date&amp;quot; definitionType=&amp;quot;Da'"</definedName>
    <definedName name="_AMO_ContentDefinition_75347770.7" hidden="1">"'teDefinition&amp;quot; selectionType=&amp;quot;Single&amp;quot;&amp;gt;&amp;lt;Value&amp;gt;&amp;lt;Date obj=&amp;quot;p7&amp;quot; value=&amp;quot;D-1D&amp;quot; /&amp;gt;&amp;lt;/Value&amp;gt;&amp;lt;/PromptDefinitionReference&amp;gt;&amp;lt;/DefinitionReferencesAndValues&amp;gt;&amp;lt;/PromptValues&amp;gt;"" /&gt;_x000D_
  &lt;param n=""'"</definedName>
    <definedName name="_AMO_ContentDefinition_75347770.8" hidden="1">"'HasPrompts"" v=""True"" /&gt;_x000D_
  &lt;param n=""DNA"" v=""&amp;lt;DNA&amp;gt;&amp;#xD;&amp;#xA;  &amp;lt;Type&amp;gt;StoredProcess&amp;lt;/Type&amp;gt;&amp;#xD;&amp;#xA;  &amp;lt;Name&amp;gt;Hierarchy TU-TR&amp;lt;/Name&amp;gt;&amp;#xD;&amp;#xA;  &amp;lt;Version&amp;gt;1&amp;lt;/Version&amp;gt;&amp;#xD;&amp;#xA;  &amp;lt;Assembly&amp;gt;SAS.EG.SDS.Mode'"</definedName>
    <definedName name="_AMO_ContentDefinition_75347770.9" hidden="1">"'l&amp;lt;/Assembly&amp;gt;&amp;#xD;&amp;#xA;  &amp;lt;Factory&amp;gt;SAS.EG.SDS.Model.Creator&amp;lt;/Factory&amp;gt;&amp;#xD;&amp;#xA;  &amp;lt;ParentName&amp;gt;Queries DSI&amp;lt;/ParentName&amp;gt;&amp;#xD;&amp;#xA;  &amp;lt;DisplayName&amp;gt;Hierarchy TU-TR&amp;lt;/DisplayName&amp;gt;&amp;#xD;&amp;#xA;  &amp;lt;SBIP&amp;gt;/Shared Data/Cac'"</definedName>
    <definedName name="_AMO_ContentLocation_75347770_ROM_F0.SEC2.Report_1.SEC2.BDY.Detailed_and_or_summarized_report" hidden="1">"'Partitions:2'"</definedName>
    <definedName name="_AMO_ContentLocation_75347770_ROM_F0.SEC2.Report_1.SEC2.BDY.Detailed_and_or_summarized_report.0" hidden="1">"'&lt;ContentLocation path=""F0.SEC2.Report_1.SEC2.BDY.Detailed_and_or_summarized_report"" rsid=""75347770"" tag=""ROM"" fid=""0""&gt;_x000D_
  &lt;param n=""_NumRows"" v=""11610"" /&gt;_x000D_
  &lt;param n=""_NumCols"" v=""7"" /&gt;_x000D_
  &lt;param n=""tableSig"" v=""R:R=11610:C=7:FCR=4'"</definedName>
    <definedName name="_AMO_ContentLocation_75347770_ROM_F0.SEC2.Report_1.SEC2.BDY.Detailed_and_or_summarized_report.1" hidden="1">"':FCC=1:RSP.1=1,H,2;3,H,5:RSP.2=1,H,2;3,H,2;5,H,2"" /&gt;_x000D_
  &lt;param n=""leftMargin"" v=""0"" /&gt;_x000D_
&lt;/ContentLocation&gt;'"</definedName>
    <definedName name="_AMO_RefreshMultipleList" hidden="1">"'281658678 47657565 479100150 565953564 578405209 837918642 967232828'"</definedName>
    <definedName name="_AMO_XmlVersion" hidden="1">"'1'"</definedName>
    <definedName name="_bdm.1A8E0623F60842159E80660105A7528D.edm" localSheetId="1" hidden="1">#REF!</definedName>
    <definedName name="_bdm.1A8E0623F60842159E80660105A7528D.edm" hidden="1">#REF!</definedName>
    <definedName name="_bdm.344C606187284BF7943F153138E6C755.edm" localSheetId="1" hidden="1">#REF!</definedName>
    <definedName name="_bdm.344C606187284BF7943F153138E6C755.edm" hidden="1">#REF!</definedName>
    <definedName name="_bdm.54E2DAA467A4455FB6386A4D2FE05F59.edm" hidden="1">#REF!</definedName>
    <definedName name="_bdm.56764BA8D6634CC0A9A04A47EF27B9B5.edm" hidden="1">#REF!</definedName>
    <definedName name="_bdm.570DBFEB8A614839B199CBAEEBB59EA0.edm" hidden="1">#REF!</definedName>
    <definedName name="_bdm.58C4C4855DDC43489A01FD010FF70CC3.edm" hidden="1">#REF!</definedName>
    <definedName name="_bdm.721935545F8F48C7AA55F00CDD9FC3F5.edm" hidden="1">#REF!</definedName>
    <definedName name="_bdm.8236348F26C24CE883E320BD9BE1A373.edm" hidden="1">#REF!</definedName>
    <definedName name="_bdm.982D81AFF0C2468E9A36353E0C799FCC.edm" localSheetId="1" hidden="1">#REF!</definedName>
    <definedName name="_bdm.982D81AFF0C2468E9A36353E0C799FCC.edm" hidden="1">#REF!</definedName>
    <definedName name="_bdm.B9F821802FB141BAB667CC35BCA6F168.edm" hidden="1">#REF!</definedName>
    <definedName name="_bdm.BD9A44B90F7743DE9BE41023EEEC5B4A.edm" hidden="1">#REF!</definedName>
    <definedName name="_bdm.D78A2B51351949B99F64B15EAD70EA67.edm" hidden="1">#REF!</definedName>
    <definedName name="_bdm.DEC2CF1A3D6549E1BBC3B5E45A9D3192.edm" hidden="1">#REF!</definedName>
    <definedName name="_BQ4.1" hidden="1">#REF!</definedName>
    <definedName name="_BQ4.10" hidden="1">#REF!</definedName>
    <definedName name="_BQ4.2" hidden="1">#REF!</definedName>
    <definedName name="_BQ4.7" hidden="1">#REF!</definedName>
    <definedName name="_BQ4.8" hidden="1">#REF!</definedName>
    <definedName name="_EXPORT31_1_2085475966098.99503_491168446.064921" localSheetId="1" hidden="1">'P&amp;L &amp; Consensus'!$E$14:$AG$56</definedName>
    <definedName name="_EXPORT31_1_227507326881.678939_507327175.628987" localSheetId="1" hidden="1">'P&amp;L &amp; Consensus'!$E$14:$Q$56</definedName>
    <definedName name="_EXPORT31_1_2500506206669.232042_506207220.2452" localSheetId="1" hidden="1">'P&amp;L &amp; Consensus'!$E$9:$AO$58</definedName>
    <definedName name="_EXPORT31_1_340490279201.080595_490279201.080595" localSheetId="1" hidden="1">'P&amp;L &amp; Consensus'!$E$14:$U$112</definedName>
    <definedName name="_EXPORT31_1_420506872571.995493_506872571.995493" localSheetId="1" hidden="1">'P&amp;L &amp; Consensus'!$E$14:$J$58</definedName>
    <definedName name="_EXPORT31_1_4464419172831.859024_481989043.991608" localSheetId="1" hidden="1">'P&amp;L &amp; Consensus'!$E$14:$U$53</definedName>
    <definedName name="_EXPORT31_1_5585498057022.290158_498057105.823395" localSheetId="1" hidden="1">'P&amp;L &amp; Consensus'!$E$14:$O$56</definedName>
    <definedName name="_EXPORT31_1_6725481891446.398887_481892574.127139" localSheetId="1" hidden="1">'P&amp;L &amp; Consensus'!$E$9:$AM$111</definedName>
    <definedName name="_EXPORT31_1_6879506773735.270452_506773735.270452" localSheetId="1" hidden="1">'P&amp;L &amp; Consensus'!$E$14:$I$58</definedName>
    <definedName name="_EXPORT31_1_6969420232400.167197_420232471.437382" localSheetId="1" hidden="1">'P&amp;L &amp; Consensus'!$E$9:$AJ$53</definedName>
    <definedName name="_EXPORT31_1_7045497811384.677439_497811384.677439" localSheetId="1" hidden="1">'P&amp;L &amp; Consensus'!$AY$152</definedName>
    <definedName name="_EXPORT31_1_7966427275190.694145_490279088.742467___5533" localSheetId="1" hidden="1">'P&amp;L &amp; Consensus'!$E$14:$U$56</definedName>
    <definedName name="_EXPORT31_1_9430442173391.477505_506879332.511068" localSheetId="1" hidden="1">'P&amp;L &amp; Consensus'!$E$14:$T$56</definedName>
    <definedName name="_EXPORT31_1_9677451733177.154647_467122616.222366" localSheetId="1" hidden="1">'P&amp;L &amp; Consensus'!$E$14:$AM$56</definedName>
    <definedName name="_EXPORT31_4_809419191446.030732_419191446.030732" localSheetId="1" hidden="1">'P&amp;L &amp; Consensus'!$N$106</definedName>
    <definedName name="_Fill" localSheetId="1" hidden="1">#REF!</definedName>
    <definedName name="_Fill" hidden="1">#REF!</definedName>
    <definedName name="_GSRATES_1" hidden="1">"CT30000120070724        "</definedName>
    <definedName name="_GSRATES_COUNT" hidden="1">1</definedName>
    <definedName name="_Key1" localSheetId="1" hidden="1">#REF!</definedName>
    <definedName name="_Key1" hidden="1">#REF!</definedName>
    <definedName name="_Key2" hidden="1">#REF!</definedName>
    <definedName name="_MatInverse_In" hidden="1">#REF!</definedName>
    <definedName name="_MatInverse_Out" hidden="1">#REF!</definedName>
    <definedName name="_MatMult_A" hidden="1">#REF!</definedName>
    <definedName name="_MatMult_AxB" hidden="1">#REF!</definedName>
    <definedName name="_MatMult_B" hidden="1">#REF!</definedName>
    <definedName name="_ob99" localSheetId="1" hidden="1">{#N/A,#N/A,FALSE,"SINTESI GESTIONALE";#N/A,#N/A,FALSE,"all.1 - LAVORO";#N/A,#N/A,FALSE,"all. 2 - SPESE AMM.TIVE";#N/A,#N/A,FALSE," SINTESI CIVILISTICO";#N/A,#N/A,FALSE,"Commerciale"}</definedName>
    <definedName name="_ob99" hidden="1">{#N/A,#N/A,FALSE,"SINTESI GESTIONALE";#N/A,#N/A,FALSE,"all.1 - LAVORO";#N/A,#N/A,FALSE,"all. 2 - SPESE AMM.TIVE";#N/A,#N/A,FALSE," SINTESI CIVILISTICO";#N/A,#N/A,FALSE,"Commerciale"}</definedName>
    <definedName name="_Order1" hidden="1">0</definedName>
    <definedName name="_Order2" hidden="1">255</definedName>
    <definedName name="_q6" localSheetId="1" hidden="1">#REF!</definedName>
    <definedName name="_q6" hidden="1">#REF!</definedName>
    <definedName name="_Regression_Int" hidden="1">1</definedName>
    <definedName name="_Regression_Out" localSheetId="1" hidden="1">#REF!</definedName>
    <definedName name="_Regression_Out" hidden="1">#REF!</definedName>
    <definedName name="_Regression_X" hidden="1">#REF!</definedName>
    <definedName name="_Regression_Y" hidden="1">#REF!</definedName>
    <definedName name="_Sort" localSheetId="1" hidden="1">#REF!</definedName>
    <definedName name="_Sort" hidden="1">#REF!</definedName>
    <definedName name="_Table2_Out" localSheetId="1" hidden="1">#REF!</definedName>
    <definedName name="_Table2_Out" hidden="1">#REF!</definedName>
    <definedName name="_u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u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UNDO_UPS_" hidden="1">#REF!</definedName>
    <definedName name="_UNDO_UPS_SEL_" hidden="1">#REF!</definedName>
    <definedName name="_UNDO31X31X_" localSheetId="3" hidden="1">'Amundi US - P&amp;L contribution'!#REF!</definedName>
    <definedName name="_UNDO31X31X_" localSheetId="2" hidden="1">'Group P&amp;L (2025 pro forma)'!#REF!</definedName>
    <definedName name="_UNDO31X31X_" localSheetId="1" hidden="1">#REF!</definedName>
    <definedName name="_UNDO31X31X_" hidden="1">'Group P&amp;L (2025 Historical)'!$R$5</definedName>
    <definedName name="a" localSheetId="1" hidden="1">{#N/A,#N/A,TRUE,"Analyse PNB";#N/A,#N/A,TRUE,"Analyse_vie";#N/A,#N/A,TRUE,"Hypothèses";#N/A,#N/A,TRUE,"Commentaires";#N/A,#N/A,TRUE,"synthèse";#N/A,#N/A,TRUE,"RT";#N/A,#N/A,TRUE,"FA";#N/A,#N/A,TRUE,"Fi";#N/A,#N/A,TRUE,"RT risque";#N/A,#N/A,TRUE,"Méthodes";#N/A,#N/A,TRUE,"commissions";#N/A,#N/A,TRUE,"Comm bpp"}</definedName>
    <definedName name="a" hidden="1">{#N/A,#N/A,TRUE,"Analyse PNB";#N/A,#N/A,TRUE,"Analyse_vie";#N/A,#N/A,TRUE,"Hypothèses";#N/A,#N/A,TRUE,"Commentaires";#N/A,#N/A,TRUE,"synthèse";#N/A,#N/A,TRUE,"RT";#N/A,#N/A,TRUE,"FA";#N/A,#N/A,TRUE,"Fi";#N/A,#N/A,TRUE,"RT risque";#N/A,#N/A,TRUE,"Méthodes";#N/A,#N/A,TRUE,"commissions";#N/A,#N/A,TRUE,"Comm bpp"}</definedName>
    <definedName name="aa" localSheetId="1" hidden="1">{#N/A,#N/A,FALSE,"SINTESI GESTIONALE";#N/A,#N/A,FALSE,"all.1 - LAVORO";#N/A,#N/A,FALSE,"all. 2 - SPESE AMM.TIVE";#N/A,#N/A,FALSE," SINTESI CIVILISTICO";#N/A,#N/A,FALSE,"Commerciale"}</definedName>
    <definedName name="aa" hidden="1">{#N/A,#N/A,FALSE,"SINTESI GESTIONALE";#N/A,#N/A,FALSE,"all.1 - LAVORO";#N/A,#N/A,FALSE,"all. 2 - SPESE AMM.TIVE";#N/A,#N/A,FALSE," SINTESI CIVILISTICO";#N/A,#N/A,FALSE,"Commerciale"}</definedName>
    <definedName name="AAA_DOCTOPS" hidden="1">"AAA_SET"</definedName>
    <definedName name="AAA_duser" hidden="1">"OFF"</definedName>
    <definedName name="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 localSheetId="1" hidden="1">{#N/A,#N/A,FALSE,"SINTESI GESTIONALE";#N/A,#N/A,FALSE,"all.1 - LAVORO";#N/A,#N/A,FALSE,"all. 2 - SPESE AMM.TIVE";#N/A,#N/A,FALSE," SINTESI CIVILISTICO";#N/A,#N/A,FALSE,"Commerciale"}</definedName>
    <definedName name="AAAAAAAA" hidden="1">{#N/A,#N/A,FALSE,"SINTESI GESTIONALE";#N/A,#N/A,FALSE,"all.1 - LAVORO";#N/A,#N/A,FALSE,"all. 2 - SPESE AMM.TIVE";#N/A,#N/A,FALSE," SINTESI CIVILISTICO";#N/A,#N/A,FALSE,"Commerciale"}</definedName>
    <definedName name="AAAAAAAAA" localSheetId="1" hidden="1">{#N/A,#N/A,FALSE,"SINTESI GESTIONALE";#N/A,#N/A,FALSE,"all.1 - LAVORO";#N/A,#N/A,FALSE,"all. 2 - SPESE AMM.TIVE";#N/A,#N/A,FALSE," SINTESI CIVILISTICO";#N/A,#N/A,FALSE,"Commerciale"}</definedName>
    <definedName name="AAAAAAAAA" hidden="1">{#N/A,#N/A,FALSE,"SINTESI GESTIONALE";#N/A,#N/A,FALSE,"all.1 - LAVORO";#N/A,#N/A,FALSE,"all. 2 - SPESE AMM.TIVE";#N/A,#N/A,FALSE," SINTESI CIVILISTICO";#N/A,#N/A,FALSE,"Commerciale"}</definedName>
    <definedName name="AAAAAAAAAAA" localSheetId="1" hidden="1">{#N/A,#N/A,FALSE,"SINTESI GESTIONALE";#N/A,#N/A,FALSE,"all.1 - LAVORO";#N/A,#N/A,FALSE,"all. 2 - SPESE AMM.TIVE";#N/A,#N/A,FALSE," SINTESI CIVILISTICO";#N/A,#N/A,FALSE,"Commerciale"}</definedName>
    <definedName name="AAAAAAAAAAA" hidden="1">{#N/A,#N/A,FALSE,"SINTESI GESTIONALE";#N/A,#N/A,FALSE,"all.1 - LAVORO";#N/A,#N/A,FALSE,"all. 2 - SPESE AMM.TIVE";#N/A,#N/A,FALSE," SINTESI CIVILISTICO";#N/A,#N/A,FALSE,"Commerciale"}</definedName>
    <definedName name="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B_Addin5" hidden="1">"AAB_Description for addin 5,Description for addin 5,Description for addin 5,Description for addin 5,Description for addin 5,Description for addin 5"</definedName>
    <definedName name="AccessDatabase" hidden="1">"C:\FAME\famework\elyval.mdb"</definedName>
    <definedName name="ANBI"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B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scount" hidden="1">1</definedName>
    <definedName name="aq"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q"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2DocOpenMode" hidden="1">"AS2DocumentBrowse"</definedName>
    <definedName name="asas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as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DGH" localSheetId="1" hidden="1">{#N/A,#N/A,FALSE,"SINTESI GESTIONALE";#N/A,#N/A,FALSE,"all.1 - LAVORO";#N/A,#N/A,FALSE,"all. 2 - SPESE AMM.TIVE";#N/A,#N/A,FALSE," SINTESI CIVILISTICO";#N/A,#N/A,FALSE,"Commerciale"}</definedName>
    <definedName name="ASDGH" hidden="1">{#N/A,#N/A,FALSE,"SINTESI GESTIONALE";#N/A,#N/A,FALSE,"all.1 - LAVORO";#N/A,#N/A,FALSE,"all. 2 - SPESE AMM.TIVE";#N/A,#N/A,FALSE," SINTESI CIVILISTICO";#N/A,#N/A,FALSE,"Commerciale"}</definedName>
    <definedName name="ATTI_DI_VENDIT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TTI_DI_VENDIT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W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W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z" localSheetId="1" hidden="1">{"HUBAN","COMPANIES",TRUE}</definedName>
    <definedName name="az" hidden="1">{"HUBAN","COMPANIES",TRUE}</definedName>
    <definedName name="BANCHE_DEL_GRUPP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ANCHE_DEL_GRUPP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c"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c"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ilan" localSheetId="1" hidden="1">{#N/A,#N/A,TRUE,"CONTO ECONOMICO";#N/A,#N/A,TRUE,"1";#N/A,#N/A,TRUE,"2";#N/A,#N/A,TRUE,"3";#N/A,#N/A,TRUE,"4";#N/A,#N/A,TRUE,"5";#N/A,#N/A,TRUE,"6";#N/A,#N/A,TRUE,"7"}</definedName>
    <definedName name="bilan" hidden="1">{#N/A,#N/A,TRUE,"CONTO ECONOMICO";#N/A,#N/A,TRUE,"1";#N/A,#N/A,TRUE,"2";#N/A,#N/A,TRUE,"3";#N/A,#N/A,TRUE,"4";#N/A,#N/A,TRUE,"5";#N/A,#N/A,TRUE,"6";#N/A,#N/A,TRUE,"7"}</definedName>
    <definedName name="BLPH1" localSheetId="1" hidden="1">#REF!</definedName>
    <definedName name="BLPH1" hidden="1">#REF!</definedName>
    <definedName name="BLPH10" hidden="1">#REF!</definedName>
    <definedName name="BLPH11" localSheetId="1" hidden="1">#REF!</definedName>
    <definedName name="BLPH11" hidden="1">#REF!</definedName>
    <definedName name="BLPH12" localSheetId="1" hidden="1">#REF!</definedName>
    <definedName name="BLPH12" hidden="1">#REF!</definedName>
    <definedName name="BLPH13" hidden="1">#REF!</definedName>
    <definedName name="BLPH14" hidden="1">#REF!</definedName>
    <definedName name="BLPH15" localSheetId="1" hidden="1">#REF!</definedName>
    <definedName name="BLPH15" hidden="1">#REF!</definedName>
    <definedName name="BLPH16" localSheetId="1" hidden="1">#REF!</definedName>
    <definedName name="BLPH16" hidden="1">#REF!</definedName>
    <definedName name="BLPH17" localSheetId="1" hidden="1">#REF!</definedName>
    <definedName name="BLPH17" hidden="1">#REF!</definedName>
    <definedName name="BLPH18" localSheetId="1" hidden="1">#REF!</definedName>
    <definedName name="BLPH18" hidden="1">#REF!</definedName>
    <definedName name="BLPH19" hidden="1">#REF!</definedName>
    <definedName name="BLPH2" localSheetId="1" hidden="1">#REF!</definedName>
    <definedName name="BLPH2" hidden="1">#REF!</definedName>
    <definedName name="BLPH20" hidden="1">#REF!</definedName>
    <definedName name="BLPH21" hidden="1">#REF!</definedName>
    <definedName name="BLPH22" localSheetId="1" hidden="1">#REF!</definedName>
    <definedName name="BLPH22" hidden="1">#REF!</definedName>
    <definedName name="BLPH23" localSheetId="1" hidden="1">#REF!</definedName>
    <definedName name="BLPH23" hidden="1">#REF!</definedName>
    <definedName name="BLPH24" localSheetId="1" hidden="1">#REF!</definedName>
    <definedName name="BLPH24" hidden="1">#REF!</definedName>
    <definedName name="BLPH25" localSheetId="1" hidden="1">#REF!</definedName>
    <definedName name="BLPH25" hidden="1">#REF!</definedName>
    <definedName name="BLPH26" localSheetId="1" hidden="1">#REF!</definedName>
    <definedName name="BLPH26" hidden="1">#REF!</definedName>
    <definedName name="BLPH27" hidden="1">#REF!</definedName>
    <definedName name="BLPH28" localSheetId="1" hidden="1">#REF!</definedName>
    <definedName name="BLPH28" hidden="1">#REF!</definedName>
    <definedName name="BLPH29" localSheetId="1" hidden="1">#REF!</definedName>
    <definedName name="BLPH29" hidden="1">#REF!</definedName>
    <definedName name="BLPH3" hidden="1">#REF!</definedName>
    <definedName name="BLPH30" localSheetId="1" hidden="1">#REF!</definedName>
    <definedName name="BLPH30" hidden="1">#REF!</definedName>
    <definedName name="BLPH4" hidden="1">#REF!</definedName>
    <definedName name="BLPH5" localSheetId="1" hidden="1">#REF!</definedName>
    <definedName name="BLPH5" hidden="1">#REF!</definedName>
    <definedName name="BLPH6" localSheetId="1" hidden="1">#REF!</definedName>
    <definedName name="BLPH6" hidden="1">#REF!</definedName>
    <definedName name="BLPH7" localSheetId="1" hidden="1">#REF!</definedName>
    <definedName name="BLPH7" hidden="1">#REF!</definedName>
    <definedName name="BLPH8" hidden="1">#REF!</definedName>
    <definedName name="BLPH9" hidden="1">#REF!</definedName>
    <definedName name="BLPI1" localSheetId="1" hidden="1">#REF!</definedName>
    <definedName name="BLPI1" hidden="1">#REF!</definedName>
    <definedName name="bonigiol" localSheetId="1" hidden="1">{#N/A,#N/A,FALSE,"SINTESI GESTIONALE";#N/A,#N/A,FALSE,"all.1 - LAVORO";#N/A,#N/A,FALSE,"all. 2 - SPESE AMM.TIVE";#N/A,#N/A,FALSE," SINTESI CIVILISTICO";#N/A,#N/A,FALSE,"Commerciale"}</definedName>
    <definedName name="bonigiol" hidden="1">{#N/A,#N/A,FALSE,"SINTESI GESTIONALE";#N/A,#N/A,FALSE,"all.1 - LAVORO";#N/A,#N/A,FALSE,"all. 2 - SPESE AMM.TIVE";#N/A,#N/A,FALSE," SINTESI CIVILISTICO";#N/A,#N/A,FALSE,"Commerciale"}</definedName>
    <definedName name="CABOTO_PREC" localSheetId="1" hidden="1">{#N/A,#N/A,FALSE,"SINTESI GESTIONALE";#N/A,#N/A,FALSE,"all.1 - LAVORO";#N/A,#N/A,FALSE,"all. 2 - SPESE AMM.TIVE";#N/A,#N/A,FALSE," SINTESI CIVILISTICO";#N/A,#N/A,FALSE,"Commerciale"}</definedName>
    <definedName name="CABOTO_PREC" hidden="1">{#N/A,#N/A,FALSE,"SINTESI GESTIONALE";#N/A,#N/A,FALSE,"all.1 - LAVORO";#N/A,#N/A,FALSE,"all. 2 - SPESE AMM.TIVE";#N/A,#N/A,FALSE," SINTESI CIVILISTICO";#N/A,#N/A,FALSE,"Commerciale"}</definedName>
    <definedName name="Cazenove" localSheetId="1" hidden="1">{"GRBAN","COMPANIES",TRUE}</definedName>
    <definedName name="Cazenove" hidden="1">{"GRBAN","COMPANIES",TRUE}</definedName>
    <definedName name="ccc" localSheetId="1" hidden="1">{#N/A,#N/A,FALSE,"SINTESI GESTIONALE";#N/A,#N/A,FALSE,"all.1 - LAVORO";#N/A,#N/A,FALSE,"all. 2 - SPESE AMM.TIVE";#N/A,#N/A,FALSE," SINTESI CIVILISTICO";#N/A,#N/A,FALSE,"Commerciale"}</definedName>
    <definedName name="ccc" hidden="1">{#N/A,#N/A,FALSE,"SINTESI GESTIONALE";#N/A,#N/A,FALSE,"all.1 - LAVORO";#N/A,#N/A,FALSE,"all. 2 - SPESE AMM.TIVE";#N/A,#N/A,FALSE," SINTESI CIVILISTICO";#N/A,#N/A,FALSE,"Commerciale"}</definedName>
    <definedName name="cgc" localSheetId="1" hidden="1">{#N/A,#N/A,FALSE,"SINTESI GESTIONALE";#N/A,#N/A,FALSE,"all.1 - LAVORO";#N/A,#N/A,FALSE,"all. 2 - SPESE AMM.TIVE";#N/A,#N/A,FALSE," SINTESI CIVILISTICO";#N/A,#N/A,FALSE,"Commerciale"}</definedName>
    <definedName name="cgc" hidden="1">{#N/A,#N/A,FALSE,"SINTESI GESTIONALE";#N/A,#N/A,FALSE,"all.1 - LAVORO";#N/A,#N/A,FALSE,"all. 2 - SPESE AMM.TIVE";#N/A,#N/A,FALSE," SINTESI CIVILISTICO";#N/A,#N/A,FALSE,"Commerciale"}</definedName>
    <definedName name="cia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ia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IQWBGuid" hidden="1">"2cd8126d-26c3-430c-b7fa-a069e3a1fc62"</definedName>
    <definedName name="CR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Rs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eded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eded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wvu.GREY_ALL." localSheetId="1" hidden="1">#REF!</definedName>
    <definedName name="Cwvu.GREY_ALL." hidden="1">#REF!</definedName>
    <definedName name="d" localSheetId="1" hidden="1">{#N/A,#N/A,TRUE,"CONTO ECONOMICO";#N/A,#N/A,TRUE,"1";#N/A,#N/A,TRUE,"2";#N/A,#N/A,TRUE,"3";#N/A,#N/A,TRUE,"4";#N/A,#N/A,TRUE,"5";#N/A,#N/A,TRUE,"6";#N/A,#N/A,TRUE,"7"}</definedName>
    <definedName name="d" hidden="1">{#N/A,#N/A,TRUE,"CONTO ECONOMICO";#N/A,#N/A,TRUE,"1";#N/A,#N/A,TRUE,"2";#N/A,#N/A,TRUE,"3";#N/A,#N/A,TRUE,"4";#N/A,#N/A,TRUE,"5";#N/A,#N/A,TRUE,"6";#N/A,#N/A,TRUE,"7"}</definedName>
    <definedName name="DateQ">Content!$B$1</definedName>
    <definedName name="DateRef">Content!$E$16</definedName>
    <definedName name="DateYtd">Content!$B$2</definedName>
    <definedName name="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lia" localSheetId="1" hidden="1">{#N/A,#N/A,FALSE,"SINTESI GESTIONALE";#N/A,#N/A,FALSE,"all.1 - LAVORO";#N/A,#N/A,FALSE,"all. 2 - SPESE AMM.TIVE";#N/A,#N/A,FALSE," SINTESI CIVILISTICO";#N/A,#N/A,FALSE,"Commerciale"}</definedName>
    <definedName name="delia" hidden="1">{#N/A,#N/A,FALSE,"SINTESI GESTIONALE";#N/A,#N/A,FALSE,"all.1 - LAVORO";#N/A,#N/A,FALSE,"all. 2 - SPESE AMM.TIVE";#N/A,#N/A,FALSE," SINTESI CIVILISTICO";#N/A,#N/A,FALSE,"Commerciale"}</definedName>
    <definedName name="determinati"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terminat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tt_rett_cre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tt_rett_cre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FR"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F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frtyyy" localSheetId="1" hidden="1">{#N/A,#N/A,FALSE,"SINTESI GESTIONALE";#N/A,#N/A,FALSE,"all.1 - LAVORO";#N/A,#N/A,FALSE,"all. 2 - SPESE AMM.TIVE";#N/A,#N/A,FALSE," SINTESI CIVILISTICO";#N/A,#N/A,FALSE,"Commerciale"}</definedName>
    <definedName name="dfrtyyy" hidden="1">{#N/A,#N/A,FALSE,"SINTESI GESTIONALE";#N/A,#N/A,FALSE,"all.1 - LAVORO";#N/A,#N/A,FALSE,"all. 2 - SPESE AMM.TIVE";#N/A,#N/A,FALSE," SINTESI CIVILISTICO";#N/A,#N/A,FALSE,"Commerciale"}</definedName>
    <definedName name="eeeeee"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eeeee"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dt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dt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snrc1c1_values" localSheetId="1" hidden="1">{"HUBAN","COMPANIES",TRUE}</definedName>
    <definedName name="esnrc1c1_values" hidden="1">{"HUBAN","COMPANIES",TRUE}</definedName>
    <definedName name="esnrc46c1_values" localSheetId="1" hidden="1">{"PL","COMPANIES",TRUE}</definedName>
    <definedName name="esnrc46c1_values" hidden="1">{"PL","COMPANIES",TRUE}</definedName>
    <definedName name="esnrc4c1_values" localSheetId="1" hidden="1">{"GRBAN","COMPANIES",TRUE}</definedName>
    <definedName name="esnrc4c1_values" hidden="1">{"GRBAN","COMPANIES",TRUE}</definedName>
    <definedName name="EV__DECIMALSYMBOL__" hidden="1">","</definedName>
    <definedName name="EV__EVCOM_OPTIONS__" hidden="1">8</definedName>
    <definedName name="EV__EXPOPTIONS__" hidden="1">0</definedName>
    <definedName name="EV__LASTREFTIME__" hidden="1">42493.4183796296</definedName>
    <definedName name="EV__LOCKEDCVW__KPLAN" hidden="1">"2015.09,2010.TOTAL,TOTAL_ENTITES,TOTAL_LOTS,OPE_TOT,PALIER_ENTITE_NA,RUBRIQUES_TITRES,SCENARIO_I,TOTAL_SOURCES,TOTAL_STRESS,REALISE_V0,Periodic,"</definedName>
    <definedName name="EV__LOCKEDCVW__RWA" hidden="1">"2011.03,2010.TOTAL,TOTAL_ENTITES,PALIER_ENTITE_NA,RUBRIQUES_TITRES,REALISE_V0,BUDGET_CAL,Periodic,"</definedName>
    <definedName name="EV__LOCKEDCVW__TITRES" hidden="1">"2012.06,TOTAL_CRITERES,2010.TOTAL,EUR_RPT,TOTAL_ENTITES,TOTAL_INSTRUMENTS,CA,TOT_PARTENAIRE,RUBRIQUES_TITRES,TOTAL_SOURCES,TOTAL_TITRES,REALISE_V1,Periodic,"</definedName>
    <definedName name="EV__LOCKSTATUS__" hidden="1">4</definedName>
    <definedName name="EV__MAXEXPCOLS__" hidden="1">100</definedName>
    <definedName name="EV__MAXEXPROWS__" hidden="1">1000</definedName>
    <definedName name="EV__MEMORYCVW__" hidden="1">0</definedName>
    <definedName name="EV__USERCHANGEOPTIONS__" hidden="1">1</definedName>
    <definedName name="EV__WBEVMODE__" hidden="1">0</definedName>
    <definedName name="EV__WBREFOPTIONS__" hidden="1">134217735</definedName>
    <definedName name="EV__WBVERSION__" hidden="1">0</definedName>
    <definedName name="ExactAddinConnection" hidden="1">"150"</definedName>
    <definedName name="ExactAddinConnection.150" hidden="1">"T13AS;001;ruitero1;1"</definedName>
    <definedName name="Extrac17" hidden="1">#REF!</definedName>
    <definedName name="FATIHA" localSheetId="1" hidden="1">{#N/A,#N/A,FALSE,"SINTESI GESTIONALE";#N/A,#N/A,FALSE,"all.1 - LAVORO";#N/A,#N/A,FALSE,"all. 2 - SPESE AMM.TIVE";#N/A,#N/A,FALSE," SINTESI CIVILISTICO";#N/A,#N/A,FALSE,"Commerciale"}</definedName>
    <definedName name="FATIHA" hidden="1">{#N/A,#N/A,FALSE,"SINTESI GESTIONALE";#N/A,#N/A,FALSE,"all.1 - LAVORO";#N/A,#N/A,FALSE,"all. 2 - SPESE AMM.TIVE";#N/A,#N/A,FALSE," SINTESI CIVILISTICO";#N/A,#N/A,FALSE,"Commerciale"}</definedName>
    <definedName name="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EVE" localSheetId="1" hidden="1">{#N/A,#N/A,FALSE,"SINTESI GESTIONALE";#N/A,#N/A,FALSE,"all.1 - LAVORO";#N/A,#N/A,FALSE,"all. 2 - SPESE AMM.TIVE";#N/A,#N/A,FALSE," SINTESI CIVILISTICO";#N/A,#N/A,FALSE,"Commerciale"}</definedName>
    <definedName name="GEVE" hidden="1">{#N/A,#N/A,FALSE,"SINTESI GESTIONALE";#N/A,#N/A,FALSE,"all.1 - LAVORO";#N/A,#N/A,FALSE,"all. 2 - SPESE AMM.TIVE";#N/A,#N/A,FALSE," SINTESI CIVILISTICO";#N/A,#N/A,FALSE,"Commerciale"}</definedName>
    <definedName name="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ggggggggg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ggggggggg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hjj" localSheetId="1" hidden="1">{#N/A,#N/A,FALSE,"SINTESI GESTIONALE";#N/A,#N/A,FALSE,"all.1 - LAVORO";#N/A,#N/A,FALSE,"all. 2 - SPESE AMM.TIVE";#N/A,#N/A,FALSE," SINTESI CIVILISTICO";#N/A,#N/A,FALSE,"Commerciale"}</definedName>
    <definedName name="gghjj" hidden="1">{#N/A,#N/A,FALSE,"SINTESI GESTIONALE";#N/A,#N/A,FALSE,"all.1 - LAVORO";#N/A,#N/A,FALSE,"all. 2 - SPESE AMM.TIVE";#N/A,#N/A,FALSE," SINTESI CIVILISTICO";#N/A,#N/A,FALSE,"Commerciale"}</definedName>
    <definedName name="g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il" localSheetId="1" hidden="1">{#N/A,#N/A,FALSE,"SINTESI GESTIONALE";#N/A,#N/A,FALSE,"all.1 - LAVORO";#N/A,#N/A,FALSE,"all. 2 - SPESE AMM.TIVE";#N/A,#N/A,FALSE," SINTESI CIVILISTICO";#N/A,#N/A,FALSE,"Commerciale"}</definedName>
    <definedName name="gil" hidden="1">{#N/A,#N/A,FALSE,"SINTESI GESTIONALE";#N/A,#N/A,FALSE,"all.1 - LAVORO";#N/A,#N/A,FALSE,"all. 2 - SPESE AMM.TIVE";#N/A,#N/A,FALSE," SINTESI CIVILISTICO";#N/A,#N/A,FALSE,"Commerciale"}</definedName>
    <definedName name="GIULFIOR" localSheetId="1" hidden="1">{#N/A,#N/A,FALSE,"SINTESI GESTIONALE";#N/A,#N/A,FALSE,"all.1 - LAVORO";#N/A,#N/A,FALSE,"all. 2 - SPESE AMM.TIVE";#N/A,#N/A,FALSE," SINTESI CIVILISTICO";#N/A,#N/A,FALSE,"Commerciale"}</definedName>
    <definedName name="GIULFIOR" hidden="1">{#N/A,#N/A,FALSE,"SINTESI GESTIONALE";#N/A,#N/A,FALSE,"all.1 - LAVORO";#N/A,#N/A,FALSE,"all. 2 - SPESE AMM.TIVE";#N/A,#N/A,FALSE," SINTESI CIVILISTICO";#N/A,#N/A,FALSE,"Commerciale"}</definedName>
    <definedName name="gls_ACT_EST_ROW" localSheetId="1" hidden="1">#REF!</definedName>
    <definedName name="gls_ACT_EST_ROW" hidden="1">#REF!</definedName>
    <definedName name="gls_ACT_FORM_OFFSET" localSheetId="1" hidden="1">#REF!</definedName>
    <definedName name="gls_ACT_FORM_OFFSET" hidden="1">#REF!</definedName>
    <definedName name="gls_ALLOW_PARENT_OR_CONSOLIDATED" localSheetId="1" hidden="1">#REF!</definedName>
    <definedName name="gls_ALLOW_PARENT_OR_CONSOLIDATED" hidden="1">#REF!</definedName>
    <definedName name="gls_ALLOW_PUBLISH" localSheetId="1" hidden="1">#REF!</definedName>
    <definedName name="gls_ALLOW_PUBLISH" hidden="1">#REF!</definedName>
    <definedName name="gls_AnalystEmpNoHeading" localSheetId="1" hidden="1">#REF!</definedName>
    <definedName name="gls_AnalystEmpNoHeading" hidden="1">#REF!</definedName>
    <definedName name="gls_AnalystNameHeading" localSheetId="1" hidden="1">#REF!</definedName>
    <definedName name="gls_AnalystNameHeading" hidden="1">#REF!</definedName>
    <definedName name="gls_CF_BEGINS" localSheetId="1" hidden="1">#REF!</definedName>
    <definedName name="gls_CF_BEGINS" hidden="1">#REF!</definedName>
    <definedName name="gls_CFD_CHANGEACT" localSheetId="1" hidden="1">#REF!</definedName>
    <definedName name="gls_CFD_CHANGEACT" hidden="1">#REF!</definedName>
    <definedName name="gls_CFD_CHANGEEST" localSheetId="1" hidden="1">#REF!</definedName>
    <definedName name="gls_CFD_CHANGEEST" hidden="1">#REF!</definedName>
    <definedName name="gls_CFD_FIRSTAVAIL" localSheetId="1" hidden="1">#REF!</definedName>
    <definedName name="gls_CFD_FIRSTAVAIL" hidden="1">#REF!</definedName>
    <definedName name="gls_CFD_LISTAVAIL" localSheetId="1" hidden="1">#REF!</definedName>
    <definedName name="gls_CFD_LISTAVAIL" hidden="1">#REF!</definedName>
    <definedName name="gls_CFD_SELECTED" localSheetId="1" hidden="1">#REF!</definedName>
    <definedName name="gls_CFD_SELECTED" hidden="1">#REF!</definedName>
    <definedName name="gls_CHANGED_NAMES" localSheetId="1" hidden="1">#REF!</definedName>
    <definedName name="gls_CHANGED_NAMES" hidden="1">#REF!</definedName>
    <definedName name="gls_CHG_KEY_USER" localSheetId="1" hidden="1">#REF!</definedName>
    <definedName name="gls_CHG_KEY_USER" hidden="1">#REF!</definedName>
    <definedName name="gls_CHG_SEL_ONLY" localSheetId="1" hidden="1">#REF!</definedName>
    <definedName name="gls_CHG_SEL_ONLY" hidden="1">#REF!</definedName>
    <definedName name="gls_COMPANY_WORKBOOK_ID" localSheetId="1" hidden="1">#REF!</definedName>
    <definedName name="gls_COMPANY_WORKBOOK_ID" hidden="1">#REF!</definedName>
    <definedName name="gls_ctrlShareholders" localSheetId="1" hidden="1">#REF!</definedName>
    <definedName name="gls_ctrlShareholders" hidden="1">#REF!</definedName>
    <definedName name="gls_DELETED_PERIODS" localSheetId="1" hidden="1">#REF!</definedName>
    <definedName name="gls_DELETED_PERIODS" hidden="1">#REF!</definedName>
    <definedName name="gls_EST_FORM_OFFSET" localSheetId="1" hidden="1">#REF!</definedName>
    <definedName name="gls_EST_FORM_OFFSET" hidden="1">#REF!</definedName>
    <definedName name="gls_EXC_NOT_EXT" localSheetId="1" hidden="1">#REF!</definedName>
    <definedName name="gls_EXC_NOT_EXT" hidden="1">#REF!</definedName>
    <definedName name="gls_EXISTING_PERIODS" localSheetId="1" hidden="1">#REF!</definedName>
    <definedName name="gls_EXISTING_PERIODS" hidden="1">#REF!</definedName>
    <definedName name="gls_EXT_BELOW_PBT" localSheetId="1" hidden="1">#REF!</definedName>
    <definedName name="gls_EXT_BELOW_PBT" hidden="1">#REF!</definedName>
    <definedName name="gls_FIRST_ITEM" localSheetId="1" hidden="1">#REF!</definedName>
    <definedName name="gls_FIRST_ITEM" hidden="1">#REF!</definedName>
    <definedName name="gls_FIRST_PK" localSheetId="1" hidden="1">#REF!</definedName>
    <definedName name="gls_FIRST_PK" hidden="1">#REF!</definedName>
    <definedName name="gls_FIRST_ROWMULT" localSheetId="1" hidden="1">#REF!</definedName>
    <definedName name="gls_FIRST_ROWMULT" hidden="1">#REF!</definedName>
    <definedName name="gls_FIRST_UNITS" localSheetId="1" hidden="1">#REF!</definedName>
    <definedName name="gls_FIRST_UNITS" hidden="1">#REF!</definedName>
    <definedName name="gls_FIXED_NAMES" localSheetId="1" hidden="1">#REF!</definedName>
    <definedName name="gls_FIXED_NAMES" hidden="1">#REF!</definedName>
    <definedName name="gls_FONT_STATUS" localSheetId="1" hidden="1">#REF!</definedName>
    <definedName name="gls_FONT_STATUS" hidden="1">#REF!</definedName>
    <definedName name="gls_GenAccountingConvention" localSheetId="1" hidden="1">#REF!</definedName>
    <definedName name="gls_GenAccountingConvention" hidden="1">#REF!</definedName>
    <definedName name="gls_GenAdditionalInfo" localSheetId="1" hidden="1">#REF!</definedName>
    <definedName name="gls_GenAdditionalInfo" hidden="1">#REF!</definedName>
    <definedName name="gls_GenComments" localSheetId="1" hidden="1">#REF!</definedName>
    <definedName name="gls_GenComments" hidden="1">#REF!</definedName>
    <definedName name="gls_GenCompany" localSheetId="1" hidden="1">#REF!</definedName>
    <definedName name="gls_GenCompany" hidden="1">#REF!</definedName>
    <definedName name="gls_GenCompanyInfo" localSheetId="1" hidden="1">#REF!</definedName>
    <definedName name="gls_GenCompanyInfo" hidden="1">#REF!</definedName>
    <definedName name="gls_GenCountry" localSheetId="1" hidden="1">#REF!</definedName>
    <definedName name="gls_GenCountry" hidden="1">#REF!</definedName>
    <definedName name="gls_GenCurrency" localSheetId="1" hidden="1">#REF!</definedName>
    <definedName name="gls_GenCurrency" hidden="1">#REF!</definedName>
    <definedName name="gls_GenCurrencyMultiplier" localSheetId="1" hidden="1">#REF!</definedName>
    <definedName name="gls_GenCurrencyMultiplier" hidden="1">#REF!</definedName>
    <definedName name="gls_GenEnterCompInfo" localSheetId="1" hidden="1">#REF!</definedName>
    <definedName name="gls_GenEnterCompInfo" hidden="1">#REF!</definedName>
    <definedName name="gls_GenEPSComment" localSheetId="1" hidden="1">#REF!</definedName>
    <definedName name="gls_GenEPSComment" hidden="1">#REF!</definedName>
    <definedName name="gls_GenHomeRegion" localSheetId="1" hidden="1">#REF!</definedName>
    <definedName name="gls_GenHomeRegion" hidden="1">#REF!</definedName>
    <definedName name="gls_GenLastPublished" localSheetId="1" hidden="1">#REF!</definedName>
    <definedName name="gls_GenLastPublished" hidden="1">#REF!</definedName>
    <definedName name="gls_GenLastRecRevised" localSheetId="1" hidden="1">#REF!</definedName>
    <definedName name="gls_GenLastRecRevised" hidden="1">#REF!</definedName>
    <definedName name="gls_GenMainInfo" localSheetId="1" hidden="1">#REF!</definedName>
    <definedName name="gls_GenMainInfo" hidden="1">#REF!</definedName>
    <definedName name="gls_GenNoteComment" localSheetId="1" hidden="1">#REF!</definedName>
    <definedName name="gls_GenNoteComment" hidden="1">#REF!</definedName>
    <definedName name="gls_GenProfile" localSheetId="1" hidden="1">#REF!</definedName>
    <definedName name="gls_GenProfile" hidden="1">#REF!</definedName>
    <definedName name="gls_GenRecComment" localSheetId="1" hidden="1">#REF!</definedName>
    <definedName name="gls_GenRecComment" hidden="1">#REF!</definedName>
    <definedName name="gls_GenSaleslineInfo" localSheetId="1" hidden="1">#REF!</definedName>
    <definedName name="gls_GenSaleslineInfo" hidden="1">#REF!</definedName>
    <definedName name="gls_GenSalesSplitByRegion" localSheetId="1" hidden="1">#REF!</definedName>
    <definedName name="gls_GenSalesSplitByRegion" hidden="1">#REF!</definedName>
    <definedName name="gls_GenSalesSplitHeading" localSheetId="1" hidden="1">#REF!</definedName>
    <definedName name="gls_GenSalesSplitHeading" hidden="1">#REF!</definedName>
    <definedName name="gls_GenSheetVersion" localSheetId="1" hidden="1">#REF!</definedName>
    <definedName name="gls_GenSheetVersion" hidden="1">#REF!</definedName>
    <definedName name="gls_genStockCore" localSheetId="1" hidden="1">#REF!</definedName>
    <definedName name="gls_genStockCore" hidden="1">#REF!</definedName>
    <definedName name="gls_genStockRec" localSheetId="1" hidden="1">#REF!</definedName>
    <definedName name="gls_genStockRec" hidden="1">#REF!</definedName>
    <definedName name="gls_GLOSS_MONTHS" localSheetId="1" hidden="1">#REF!</definedName>
    <definedName name="gls_GLOSS_MONTHS" hidden="1">#REF!</definedName>
    <definedName name="gls_GW_IN" localSheetId="1" hidden="1">#REF!</definedName>
    <definedName name="gls_GW_IN" hidden="1">#REF!</definedName>
    <definedName name="gls_IIAA_IN" localSheetId="1" hidden="1">#REF!</definedName>
    <definedName name="gls_IIAA_IN" hidden="1">#REF!</definedName>
    <definedName name="gls_InterimValue" localSheetId="1" hidden="1">#REF!</definedName>
    <definedName name="gls_InterimValue" hidden="1">#REF!</definedName>
    <definedName name="gls_IssuedStockClassHeading" localSheetId="1" hidden="1">#REF!</definedName>
    <definedName name="gls_IssuedStockClassHeading" hidden="1">#REF!</definedName>
    <definedName name="gls_IssuedStockCodeHeading" localSheetId="1" hidden="1">#REF!</definedName>
    <definedName name="gls_IssuedStockCodeHeading" hidden="1">#REF!</definedName>
    <definedName name="gls_IssuedStockFreeFloatHeading" localSheetId="1" hidden="1">#REF!</definedName>
    <definedName name="gls_IssuedStockFreeFloatHeading" hidden="1">#REF!</definedName>
    <definedName name="gls_KEY_DATA" localSheetId="1" hidden="1">#REF!</definedName>
    <definedName name="gls_KEY_DATA" hidden="1">#REF!</definedName>
    <definedName name="gls_KEY_VALUE" localSheetId="1" hidden="1">#REF!</definedName>
    <definedName name="gls_KEY_VALUE" hidden="1">#REF!</definedName>
    <definedName name="gls_LANGUAGE" localSheetId="1" hidden="1">#REF!</definedName>
    <definedName name="gls_LANGUAGE" hidden="1">#REF!</definedName>
    <definedName name="gls_NEXT_PK" localSheetId="1" hidden="1">#REF!</definedName>
    <definedName name="gls_NEXT_PK" hidden="1">#REF!</definedName>
    <definedName name="gls_PERIOD_CODE" localSheetId="1" hidden="1">#REF!</definedName>
    <definedName name="gls_PERIOD_CODE" hidden="1">#REF!</definedName>
    <definedName name="gls_PERIOD_INDICATOR" localSheetId="1" hidden="1">#REF!</definedName>
    <definedName name="gls_PERIOD_INDICATOR" hidden="1">#REF!</definedName>
    <definedName name="gls_PERIOD_PARENT_OR_CONSOL" localSheetId="1" hidden="1">#REF!</definedName>
    <definedName name="gls_PERIOD_PARENT_OR_CONSOL" hidden="1">#REF!</definedName>
    <definedName name="gls_PERIOD_TOTAL" localSheetId="1" hidden="1">#REF!</definedName>
    <definedName name="gls_PERIOD_TOTAL" hidden="1">#REF!</definedName>
    <definedName name="gls_PERIOD_TYPE" localSheetId="1" hidden="1">#REF!</definedName>
    <definedName name="gls_PERIOD_TYPE" hidden="1">#REF!</definedName>
    <definedName name="gls_PrincipalStockClass" localSheetId="1" hidden="1">#REF!</definedName>
    <definedName name="gls_PrincipalStockClass" hidden="1">#REF!</definedName>
    <definedName name="gls_PROFILE_NAME" localSheetId="1" hidden="1">#REF!</definedName>
    <definedName name="gls_PROFILE_NAME" hidden="1">#REF!</definedName>
    <definedName name="gls_Recommendations" localSheetId="1" hidden="1">#REF!</definedName>
    <definedName name="gls_Recommendations" hidden="1">#REF!</definedName>
    <definedName name="gls_SASS5HistEPSGrowth" localSheetId="1" hidden="1">#REF!</definedName>
    <definedName name="gls_SASS5HistEPSGrowth" hidden="1">#REF!</definedName>
    <definedName name="gls_SASS5ProjEPSGrowth" localSheetId="1" hidden="1">#REF!</definedName>
    <definedName name="gls_SASS5ProjEPSGrowth" hidden="1">#REF!</definedName>
    <definedName name="gls_SASSDirectorHoldings" localSheetId="1" hidden="1">#REF!</definedName>
    <definedName name="gls_SASSDirectorHoldings" hidden="1">#REF!</definedName>
    <definedName name="gls_SASSEPS45AGR" localSheetId="1" hidden="1">#REF!</definedName>
    <definedName name="gls_SASSEPS45AGR" hidden="1">#REF!</definedName>
    <definedName name="gls_SASSIsInterimLastAnnounce" localSheetId="1" hidden="1">#REF!</definedName>
    <definedName name="gls_SASSIsInterimLastAnnounce" hidden="1">#REF!</definedName>
    <definedName name="gls_SASSLastAnnounce" localSheetId="1" hidden="1">#REF!</definedName>
    <definedName name="gls_SASSLastAnnounce" hidden="1">#REF!</definedName>
    <definedName name="gls_SASSNETDIV45AGR" localSheetId="1" hidden="1">#REF!</definedName>
    <definedName name="gls_SASSNETDIV45AGR" hidden="1">#REF!</definedName>
    <definedName name="gls_SaveBeforePublish" localSheetId="1" hidden="1">#REF!</definedName>
    <definedName name="gls_SaveBeforePublish" hidden="1">#REF!</definedName>
    <definedName name="gls_SaveWkbForNewPeriodCodes" localSheetId="1" hidden="1">#REF!</definedName>
    <definedName name="gls_SaveWkbForNewPeriodCodes" hidden="1">#REF!</definedName>
    <definedName name="gls_ShareholderClassHeading" localSheetId="1" hidden="1">#REF!</definedName>
    <definedName name="gls_ShareholderClassHeading" hidden="1">#REF!</definedName>
    <definedName name="gls_ShareholderHolding" localSheetId="1" hidden="1">#REF!</definedName>
    <definedName name="gls_ShareholderHolding" hidden="1">#REF!</definedName>
    <definedName name="gls_ShareholderHoldingHeading" localSheetId="1" hidden="1">#REF!</definedName>
    <definedName name="gls_ShareholderHoldingHeading" hidden="1">#REF!</definedName>
    <definedName name="gls_ShareholderName" localSheetId="1" hidden="1">#REF!</definedName>
    <definedName name="gls_ShareholderName" hidden="1">#REF!</definedName>
    <definedName name="gls_ShareholderNameHeading" localSheetId="1" hidden="1">#REF!</definedName>
    <definedName name="gls_ShareholderNameHeading" hidden="1">#REF!</definedName>
    <definedName name="gls_ShareholdingName" localSheetId="1" hidden="1">#REF!</definedName>
    <definedName name="gls_ShareholdingName" hidden="1">#REF!</definedName>
    <definedName name="gls_SHOW_CONTROL_VALUE" localSheetId="1" hidden="1">#REF!</definedName>
    <definedName name="gls_SHOW_CONTROL_VALUE" hidden="1">#REF!</definedName>
    <definedName name="gls_SHOW_KEY_VAL_COLUMN" localSheetId="1" hidden="1">#REF!</definedName>
    <definedName name="gls_SHOW_KEY_VAL_COLUMN" hidden="1">#REF!</definedName>
    <definedName name="gls_SHOW_KEY_VALUES" localSheetId="1" hidden="1">#REF!</definedName>
    <definedName name="gls_SHOW_KEY_VALUES" hidden="1">#REF!</definedName>
    <definedName name="gls_SHOW_LINKED_ITEMS" localSheetId="1" hidden="1">#REF!</definedName>
    <definedName name="gls_SHOW_LINKED_ITEMS" hidden="1">#REF!</definedName>
    <definedName name="gls_SHOW_LOCAL_NAMES" localSheetId="1" hidden="1">#REF!</definedName>
    <definedName name="gls_SHOW_LOCAL_NAMES" hidden="1">#REF!</definedName>
    <definedName name="gls_SHOW_MULTIPLIERS" localSheetId="1" hidden="1">#REF!</definedName>
    <definedName name="gls_SHOW_MULTIPLIERS" hidden="1">#REF!</definedName>
    <definedName name="gls_SHOW_PK_COLUMN" localSheetId="1" hidden="1">#REF!</definedName>
    <definedName name="gls_SHOW_PK_COLUMN" hidden="1">#REF!</definedName>
    <definedName name="gls_SHOW_STATUS_INFORMATION" localSheetId="1" hidden="1">#REF!</definedName>
    <definedName name="gls_SHOW_STATUS_INFORMATION" hidden="1">#REF!</definedName>
    <definedName name="gls_SHOW_UNITS" localSheetId="1" hidden="1">#REF!</definedName>
    <definedName name="gls_SHOW_UNITS" hidden="1">#REF!</definedName>
    <definedName name="gls_SPARE_YEARS" localSheetId="1" hidden="1">#REF!</definedName>
    <definedName name="gls_SPARE_YEARS" hidden="1">#REF!</definedName>
    <definedName name="gls_SPECIAL_DIALOG" localSheetId="1" hidden="1">#REF!</definedName>
    <definedName name="gls_SPECIAL_DIALOG" hidden="1">#REF!</definedName>
    <definedName name="gls_START_FORMULA_OVERRIDEABLE" localSheetId="1" hidden="1">#REF!</definedName>
    <definedName name="gls_START_FORMULA_OVERRIDEABLE" hidden="1">#REF!</definedName>
    <definedName name="gls_START_LOCAL_NAMES" localSheetId="1" hidden="1">#REF!</definedName>
    <definedName name="gls_START_LOCAL_NAMES" hidden="1">#REF!</definedName>
    <definedName name="gls_START_PERIOD_CURRENCY" localSheetId="1" hidden="1">#REF!</definedName>
    <definedName name="gls_START_PERIOD_CURRENCY" hidden="1">#REF!</definedName>
    <definedName name="gls_START_STATUS" localSheetId="1" hidden="1">#REF!</definedName>
    <definedName name="gls_START_STATUS" hidden="1">#REF!</definedName>
    <definedName name="gls_START_USER_REQ" localSheetId="1" hidden="1">#REF!</definedName>
    <definedName name="gls_START_USER_REQ" hidden="1">#REF!</definedName>
    <definedName name="gls_START_USER_STATUS" localSheetId="1" hidden="1">#REF!</definedName>
    <definedName name="gls_START_USER_STATUS" hidden="1">#REF!</definedName>
    <definedName name="gls_START_VALIDATION" localSheetId="1" hidden="1">#REF!</definedName>
    <definedName name="gls_START_VALIDATION" hidden="1">#REF!</definedName>
    <definedName name="gls_START_WHAT" localSheetId="1" hidden="1">#REF!</definedName>
    <definedName name="gls_START_WHAT" hidden="1">#REF!</definedName>
    <definedName name="gls_START_YEAR" localSheetId="1" hidden="1">#REF!</definedName>
    <definedName name="gls_START_YEAR" hidden="1">#REF!</definedName>
    <definedName name="gls_StockTicker" localSheetId="1" hidden="1">#REF!</definedName>
    <definedName name="gls_StockTicker" hidden="1">#REF!</definedName>
    <definedName name="gls_TEMP_PERIOD_CODE" localSheetId="1" hidden="1">#REF!</definedName>
    <definedName name="gls_TEMP_PERIOD_CODE" hidden="1">#REF!</definedName>
    <definedName name="gls_THISWORKBOOK_NAME" localSheetId="1" hidden="1">#REF!</definedName>
    <definedName name="gls_THISWORKBOOK_NAME" hidden="1">#REF!</definedName>
    <definedName name="gls_UNUSUAL_POS" localSheetId="1" hidden="1">#REF!</definedName>
    <definedName name="gls_UNUSUAL_POS" hidden="1">#REF!</definedName>
    <definedName name="gls_USING_CONSOLIDATED" localSheetId="1" hidden="1">#REF!</definedName>
    <definedName name="gls_USING_CONSOLIDATED" hidden="1">#REF!</definedName>
    <definedName name="gls_YEAR_AE_CONTROL" localSheetId="1" hidden="1">#REF!</definedName>
    <definedName name="gls_YEAR_AE_CONTROL" hidden="1">#REF!</definedName>
    <definedName name="gls_YEAR_END_ROW" localSheetId="1" hidden="1">#REF!</definedName>
    <definedName name="gls_YEAR_END_ROW" hidden="1">#REF!</definedName>
    <definedName name="gls_YetToRunStartupWizard" localSheetId="1" hidden="1">#REF!</definedName>
    <definedName name="gls_YetToRunStartupWizard" hidden="1">#REF!</definedName>
    <definedName name="GRAPH" hidden="1">#REF!</definedName>
    <definedName name="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all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all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gjh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gjh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hhhhh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hhhhh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jjhuju" localSheetId="1" hidden="1">{#N/A,#N/A,FALSE,"SINTESI GESTIONALE";#N/A,#N/A,FALSE,"all.1 - LAVORO";#N/A,#N/A,FALSE,"all. 2 - SPESE AMM.TIVE";#N/A,#N/A,FALSE," SINTESI CIVILISTICO";#N/A,#N/A,FALSE,"Commerciale"}</definedName>
    <definedName name="hjjhuju" hidden="1">{#N/A,#N/A,FALSE,"SINTESI GESTIONALE";#N/A,#N/A,FALSE,"all.1 - LAVORO";#N/A,#N/A,FALSE,"all. 2 - SPESE AMM.TIVE";#N/A,#N/A,FALSE," SINTESI CIVILISTICO";#N/A,#N/A,FALSE,"Commerciale"}</definedName>
    <definedName name="hjk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jk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TML_CodePage" hidden="1">1252</definedName>
    <definedName name="HTML_Control" localSheetId="1" hidden="1">{"'DataPage'!$A$2:$M$69"}</definedName>
    <definedName name="HTML_Control" hidden="1">{"'DataPage'!$A$2:$M$69"}</definedName>
    <definedName name="HTML_Description" hidden="1">""</definedName>
    <definedName name="HTML_Email" hidden="1">""</definedName>
    <definedName name="HTML_Header" hidden="1">"RamoVita-mo"</definedName>
    <definedName name="HTML_LastUpdate" hidden="1">"16/05/01"</definedName>
    <definedName name="HTML_LineAfter" hidden="1">FALSE</definedName>
    <definedName name="HTML_LineBefore" hidden="1">FALSE</definedName>
    <definedName name="HTML_Name" hidden="1">"Ziani"</definedName>
    <definedName name="HTML_OBDlg2" hidden="1">TRUE</definedName>
    <definedName name="HTML_OBDlg3" hidden="1">TRUE</definedName>
    <definedName name="HTML_OBDlg4" hidden="1">TRUE</definedName>
    <definedName name="HTML_OS" hidden="1">0</definedName>
    <definedName name="HTML_PathFile" hidden="1">"C:\AG 98 - SPCG\RPT dati Ramo Vita - 2001-1.htm"</definedName>
    <definedName name="HTML_PathTemplate" hidden="1">"D:\Intranet\Titolo_Stock_Anziano_mensile.htm"</definedName>
    <definedName name="HTML_Title" hidden="1">"RPT dati Ramo Vita - 2001-1"</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2_1" hidden="1">"[OBT_6M_1.XLS]OBT_6M_sem!$B$5:$M$51"</definedName>
    <definedName name="HTML2_11" hidden="1">1</definedName>
    <definedName name="HTML2_12" hidden="1">"C:\WEB\EXCEL\STK_ANZ\ANZ_6M.HTM"</definedName>
    <definedName name="HTML2_2" hidden="1">-4146</definedName>
    <definedName name="HTML2_3" hidden="1">"C:\WEB\EXCEL\STK_ANZ\HTMLTEMP.HTM"</definedName>
    <definedName name="HTMLCount" hidden="1">1</definedName>
    <definedName name="huy" localSheetId="1" hidden="1">{"'Sheet1'!$L$16"}</definedName>
    <definedName name="huy" hidden="1">{"'Sheet1'!$L$16"}</definedName>
    <definedName name="Impieghi"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mpiegh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mposte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mposte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CAL_Q_EST_REUT" hidden="1">"c6800"</definedName>
    <definedName name="IQ_CAL_Y_EST_REUT" hidden="1">"c6801"</definedName>
    <definedName name="IQ_CAPEX_BR" hidden="1">"c111"</definedName>
    <definedName name="IQ_CASH_DIVIDENDS_NET_INCOME_FDIC" hidden="1">"c6738"</definedName>
    <definedName name="IQ_CASH_IN_PROCESS_FDIC" hidden="1">"c6386"</definedName>
    <definedName name="IQ_CCE_FDIC" hidden="1">"c6296"</definedName>
    <definedName name="IQ_CH" hidden="1">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DA_EST_REUT" hidden="1">"c3640"</definedName>
    <definedName name="IQ_EBITDA_HIGH_EST_REUT" hidden="1">"c3642"</definedName>
    <definedName name="IQ_EBITDA_LOW_EST_REUT" hidden="1">"c3643"</definedName>
    <definedName name="IQ_EBITDA_MEDIAN_EST_REUT" hidden="1">"c3641"</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_EST_REUT" hidden="1">"c5453"</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EPS_GW_REUT" hidden="1">"c5395"</definedName>
    <definedName name="IQ_EST_ACT_EPS_NORM_REUT" hidden="1">"c5332"</definedName>
    <definedName name="IQ_EST_ACT_EPS_REPORTED_REUT" hidden="1">"c5402"</definedName>
    <definedName name="IQ_EST_CURRENCY_REUT" hidden="1">"c5437"</definedName>
    <definedName name="IQ_EST_DATE_REUT" hidden="1">"c5438"</definedName>
    <definedName name="IQ_EST_EPS_GROWTH_1YR_REUT" hidden="1">"c3646"</definedName>
    <definedName name="IQ_EST_EPS_GROWTH_5YR_REUT" hidden="1">"c3633"</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IMATED_ASSESSABLE_DEPOSITS_FDIC" hidden="1">"c6490"</definedName>
    <definedName name="IQ_ESTIMATED_INSURED_DEPOSITS_FDIC" hidden="1">"c6491"</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Q_EST_REUT" hidden="1">"c6798"</definedName>
    <definedName name="IQ_FISCAL_Y_EST_REUT" hidden="1">"c6799"</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W_AMORT_BR" hidden="1">"c532"</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PROVIDED_DIVIDEND" hidden="1">"c19252"</definedName>
    <definedName name="IQ_INDEXCONSTITUENT_CLOSEPRICE" hidden="1">"c19241"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LOANS_FDIC" hidden="1">"c6365"</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ACRO_SURVEY_CONSUMER_SENTIMENT" hidden="1">"c20808"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42292.4318518518</definedName>
    <definedName name="IQ_NET_CHARGE_OFFS_FDIC" hidden="1">"c6641"</definedName>
    <definedName name="IQ_NET_CHARGE_OFFS_LOANS_FDIC" hidden="1">"c6751"</definedName>
    <definedName name="IQ_NET_DEBT_ISSUED_BR" hidden="1">"c753"</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PENED55" hidden="1">1</definedName>
    <definedName name="IQ_OPER_INC_BR"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INSURED_FDIC" hidden="1">"c6374"</definedName>
    <definedName name="IQ_PERIODDATE_FDIC" hidden="1">"c13646"</definedName>
    <definedName name="IQ_PLEDGED_SECURITIES_FDIC" hidden="1">"c6401"</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RETURN_ASSETS_FDIC" hidden="1">"c6731"</definedName>
    <definedName name="IQ_PRICE_TARGET_REUT" hidden="1">"c3631"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BROK" hidden="1">"c1115"</definedName>
    <definedName name="IQ_RETURN_ASSETS_FDIC" hidden="1">"c6730"</definedName>
    <definedName name="IQ_RETURN_EQUITY_BROK" hidden="1">"c1120"</definedName>
    <definedName name="IQ_RETURN_EQUITY_FDIC" hidden="1">"c6732"</definedName>
    <definedName name="IQ_REV_STDDEV_EST_REUT" hidden="1">"c3639"</definedName>
    <definedName name="IQ_REVALUATION_GAINS_FDIC" hidden="1">"c6428"</definedName>
    <definedName name="IQ_REVALUATION_LOSSES_FDIC" hidden="1">"c6429"</definedName>
    <definedName name="IQ_REVENUE_EST_REUT" hidden="1">"c3634"</definedName>
    <definedName name="IQ_REVENUE_HIGH_EST_REUT" hidden="1">"c3636"</definedName>
    <definedName name="IQ_REVENUE_LOW_EST_REUT" hidden="1">"c3637"</definedName>
    <definedName name="IQ_REVENUE_MEDIAN_EST_REUT" hidden="1">"c3635"</definedName>
    <definedName name="IQ_REVENUE_NUM_EST_REUT" hidden="1">"c3638"</definedName>
    <definedName name="IQ_REVOLVING_SECURED_1_–4_NON_ACCRUAL_FFIEC" hidden="1">"c15565"</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ED_COMMITMENTS_FDIC" hidden="1">"c6536"</definedName>
    <definedName name="IQ_TOTAL_UNUSUAL_BR" hidden="1">"c5517"</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 hidden="1">50000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srae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srae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u" localSheetId="1" hidden="1">{#N/A,#N/A,FALSE,"SINTESI GESTIONALE";#N/A,#N/A,FALSE,"all.1 - LAVORO";#N/A,#N/A,FALSE,"all. 2 - SPESE AMM.TIVE";#N/A,#N/A,FALSE," SINTESI CIVILISTICO";#N/A,#N/A,FALSE,"Commerciale"}</definedName>
    <definedName name="iu" hidden="1">{#N/A,#N/A,FALSE,"SINTESI GESTIONALE";#N/A,#N/A,FALSE,"all.1 - LAVORO";#N/A,#N/A,FALSE,"all. 2 - SPESE AMM.TIVE";#N/A,#N/A,FALSE," SINTESI CIVILISTICO";#N/A,#N/A,FALSE,"Commerciale"}</definedName>
    <definedName name="j.j"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_10a" localSheetId="1" hidden="1">{#N/A,#N/A,FALSE,"Aging Summary";#N/A,#N/A,FALSE,"Ratio Analysis";#N/A,#N/A,FALSE,"Test 120 Day Accts";#N/A,#N/A,FALSE,"Tickmarks"}</definedName>
    <definedName name="j_10a" hidden="1">{#N/A,#N/A,FALSE,"Aging Summary";#N/A,#N/A,FALSE,"Ratio Analysis";#N/A,#N/A,FALSE,"Test 120 Day Accts";#N/A,#N/A,FALSE,"Tickmarks"}</definedName>
    <definedName name="j_10a_2" localSheetId="1" hidden="1">{#N/A,#N/A,FALSE,"Aging Summary";#N/A,#N/A,FALSE,"Ratio Analysis";#N/A,#N/A,FALSE,"Test 120 Day Accts";#N/A,#N/A,FALSE,"Tickmarks"}</definedName>
    <definedName name="j_10a_2" hidden="1">{#N/A,#N/A,FALSE,"Aging Summary";#N/A,#N/A,FALSE,"Ratio Analysis";#N/A,#N/A,FALSE,"Test 120 Day Accts";#N/A,#N/A,FALSE,"Tickmarks"}</definedName>
    <definedName name="j_10a1" localSheetId="1" hidden="1">{#N/A,#N/A,FALSE,"Aging Summary";#N/A,#N/A,FALSE,"Ratio Analysis";#N/A,#N/A,FALSE,"Test 120 Day Accts";#N/A,#N/A,FALSE,"Tickmarks"}</definedName>
    <definedName name="j_10a1" hidden="1">{#N/A,#N/A,FALSE,"Aging Summary";#N/A,#N/A,FALSE,"Ratio Analysis";#N/A,#N/A,FALSE,"Test 120 Day Accts";#N/A,#N/A,FALSE,"Tickmarks"}</definedName>
    <definedName name="j_11a" localSheetId="1" hidden="1">{#N/A,#N/A,FALSE,"Aging Summary";#N/A,#N/A,FALSE,"Ratio Analysis";#N/A,#N/A,FALSE,"Test 120 Day Accts";#N/A,#N/A,FALSE,"Tickmarks"}</definedName>
    <definedName name="j_11a" hidden="1">{#N/A,#N/A,FALSE,"Aging Summary";#N/A,#N/A,FALSE,"Ratio Analysis";#N/A,#N/A,FALSE,"Test 120 Day Accts";#N/A,#N/A,FALSE,"Tickmarks"}</definedName>
    <definedName name="j_12a" localSheetId="1" hidden="1">{#N/A,#N/A,FALSE,"Aging Summary";#N/A,#N/A,FALSE,"Ratio Analysis";#N/A,#N/A,FALSE,"Test 120 Day Accts";#N/A,#N/A,FALSE,"Tickmarks"}</definedName>
    <definedName name="j_12a" hidden="1">{#N/A,#N/A,FALSE,"Aging Summary";#N/A,#N/A,FALSE,"Ratio Analysis";#N/A,#N/A,FALSE,"Test 120 Day Accts";#N/A,#N/A,FALSE,"Tickmarks"}</definedName>
    <definedName name="j_12a_2" localSheetId="1" hidden="1">{#N/A,#N/A,FALSE,"Aging Summary";#N/A,#N/A,FALSE,"Ratio Analysis";#N/A,#N/A,FALSE,"Test 120 Day Accts";#N/A,#N/A,FALSE,"Tickmarks"}</definedName>
    <definedName name="j_12a_2" hidden="1">{#N/A,#N/A,FALSE,"Aging Summary";#N/A,#N/A,FALSE,"Ratio Analysis";#N/A,#N/A,FALSE,"Test 120 Day Accts";#N/A,#N/A,FALSE,"Tickmarks"}</definedName>
    <definedName name="j_12p" localSheetId="1" hidden="1">{#N/A,#N/A,FALSE,"Aging Summary";#N/A,#N/A,FALSE,"Ratio Analysis";#N/A,#N/A,FALSE,"Test 120 Day Accts";#N/A,#N/A,FALSE,"Tickmarks"}</definedName>
    <definedName name="j_12p" hidden="1">{#N/A,#N/A,FALSE,"Aging Summary";#N/A,#N/A,FALSE,"Ratio Analysis";#N/A,#N/A,FALSE,"Test 120 Day Accts";#N/A,#N/A,FALSE,"Tickmarks"}</definedName>
    <definedName name="j_16a" localSheetId="1" hidden="1">{#N/A,#N/A,FALSE,"Aging Summary";#N/A,#N/A,FALSE,"Ratio Analysis";#N/A,#N/A,FALSE,"Test 120 Day Accts";#N/A,#N/A,FALSE,"Tickmarks"}</definedName>
    <definedName name="j_16a" hidden="1">{#N/A,#N/A,FALSE,"Aging Summary";#N/A,#N/A,FALSE,"Ratio Analysis";#N/A,#N/A,FALSE,"Test 120 Day Accts";#N/A,#N/A,FALSE,"Tickmarks"}</definedName>
    <definedName name="j_17p" localSheetId="1" hidden="1">{#N/A,#N/A,FALSE,"Aging Summary";#N/A,#N/A,FALSE,"Ratio Analysis";#N/A,#N/A,FALSE,"Test 120 Day Accts";#N/A,#N/A,FALSE,"Tickmarks"}</definedName>
    <definedName name="j_17p" hidden="1">{#N/A,#N/A,FALSE,"Aging Summary";#N/A,#N/A,FALSE,"Ratio Analysis";#N/A,#N/A,FALSE,"Test 120 Day Accts";#N/A,#N/A,FALSE,"Tickmarks"}</definedName>
    <definedName name="j_18a" localSheetId="1" hidden="1">{#N/A,#N/A,FALSE,"Aging Summary";#N/A,#N/A,FALSE,"Ratio Analysis";#N/A,#N/A,FALSE,"Test 120 Day Accts";#N/A,#N/A,FALSE,"Tickmarks"}</definedName>
    <definedName name="j_18a" hidden="1">{#N/A,#N/A,FALSE,"Aging Summary";#N/A,#N/A,FALSE,"Ratio Analysis";#N/A,#N/A,FALSE,"Test 120 Day Accts";#N/A,#N/A,FALSE,"Tickmarks"}</definedName>
    <definedName name="j_19A" localSheetId="1" hidden="1">{#N/A,#N/A,FALSE,"Aging Summary";#N/A,#N/A,FALSE,"Ratio Analysis";#N/A,#N/A,FALSE,"Test 120 Day Accts";#N/A,#N/A,FALSE,"Tickmarks"}</definedName>
    <definedName name="j_19A" hidden="1">{#N/A,#N/A,FALSE,"Aging Summary";#N/A,#N/A,FALSE,"Ratio Analysis";#N/A,#N/A,FALSE,"Test 120 Day Accts";#N/A,#N/A,FALSE,"Tickmarks"}</definedName>
    <definedName name="j_19a_1" localSheetId="1" hidden="1">{#N/A,#N/A,FALSE,"Aging Summary";#N/A,#N/A,FALSE,"Ratio Analysis";#N/A,#N/A,FALSE,"Test 120 Day Accts";#N/A,#N/A,FALSE,"Tickmarks"}</definedName>
    <definedName name="j_19a_1" hidden="1">{#N/A,#N/A,FALSE,"Aging Summary";#N/A,#N/A,FALSE,"Ratio Analysis";#N/A,#N/A,FALSE,"Test 120 Day Accts";#N/A,#N/A,FALSE,"Tickmarks"}</definedName>
    <definedName name="j_2009a" localSheetId="1" hidden="1">{#N/A,#N/A,FALSE,"Aging Summary";#N/A,#N/A,FALSE,"Ratio Analysis";#N/A,#N/A,FALSE,"Test 120 Day Accts";#N/A,#N/A,FALSE,"Tickmarks"}</definedName>
    <definedName name="j_2009a" hidden="1">{#N/A,#N/A,FALSE,"Aging Summary";#N/A,#N/A,FALSE,"Ratio Analysis";#N/A,#N/A,FALSE,"Test 120 Day Accts";#N/A,#N/A,FALSE,"Tickmarks"}</definedName>
    <definedName name="j_21a" localSheetId="1" hidden="1">{#N/A,#N/A,FALSE,"Aging Summary";#N/A,#N/A,FALSE,"Ratio Analysis";#N/A,#N/A,FALSE,"Test 120 Day Accts";#N/A,#N/A,FALSE,"Tickmarks"}</definedName>
    <definedName name="j_21a" hidden="1">{#N/A,#N/A,FALSE,"Aging Summary";#N/A,#N/A,FALSE,"Ratio Analysis";#N/A,#N/A,FALSE,"Test 120 Day Accts";#N/A,#N/A,FALSE,"Tickmarks"}</definedName>
    <definedName name="j_28A" localSheetId="1" hidden="1">{#N/A,#N/A,FALSE,"Aging Summary";#N/A,#N/A,FALSE,"Ratio Analysis";#N/A,#N/A,FALSE,"Test 120 Day Accts";#N/A,#N/A,FALSE,"Tickmarks"}</definedName>
    <definedName name="j_28A" hidden="1">{#N/A,#N/A,FALSE,"Aging Summary";#N/A,#N/A,FALSE,"Ratio Analysis";#N/A,#N/A,FALSE,"Test 120 Day Accts";#N/A,#N/A,FALSE,"Tickmarks"}</definedName>
    <definedName name="j_29a" localSheetId="1" hidden="1">{#N/A,#N/A,FALSE,"Aging Summary";#N/A,#N/A,FALSE,"Ratio Analysis";#N/A,#N/A,FALSE,"Test 120 Day Accts";#N/A,#N/A,FALSE,"Tickmarks"}</definedName>
    <definedName name="j_29a" hidden="1">{#N/A,#N/A,FALSE,"Aging Summary";#N/A,#N/A,FALSE,"Ratio Analysis";#N/A,#N/A,FALSE,"Test 120 Day Accts";#N/A,#N/A,FALSE,"Tickmarks"}</definedName>
    <definedName name="j_2a" localSheetId="1" hidden="1">{#N/A,#N/A,FALSE,"Aging Summary";#N/A,#N/A,FALSE,"Ratio Analysis";#N/A,#N/A,FALSE,"Test 120 Day Accts";#N/A,#N/A,FALSE,"Tickmarks"}</definedName>
    <definedName name="j_2a" hidden="1">{#N/A,#N/A,FALSE,"Aging Summary";#N/A,#N/A,FALSE,"Ratio Analysis";#N/A,#N/A,FALSE,"Test 120 Day Accts";#N/A,#N/A,FALSE,"Tickmarks"}</definedName>
    <definedName name="j_2a1" localSheetId="1" hidden="1">{#N/A,#N/A,FALSE,"Aging Summary";#N/A,#N/A,FALSE,"Ratio Analysis";#N/A,#N/A,FALSE,"Test 120 Day Accts";#N/A,#N/A,FALSE,"Tickmarks"}</definedName>
    <definedName name="j_2a1" hidden="1">{#N/A,#N/A,FALSE,"Aging Summary";#N/A,#N/A,FALSE,"Ratio Analysis";#N/A,#N/A,FALSE,"Test 120 Day Accts";#N/A,#N/A,FALSE,"Tickmarks"}</definedName>
    <definedName name="j_32p" localSheetId="1" hidden="1">{#N/A,#N/A,FALSE,"Aging Summary";#N/A,#N/A,FALSE,"Ratio Analysis";#N/A,#N/A,FALSE,"Test 120 Day Accts";#N/A,#N/A,FALSE,"Tickmarks"}</definedName>
    <definedName name="j_32p" hidden="1">{#N/A,#N/A,FALSE,"Aging Summary";#N/A,#N/A,FALSE,"Ratio Analysis";#N/A,#N/A,FALSE,"Test 120 Day Accts";#N/A,#N/A,FALSE,"Tickmarks"}</definedName>
    <definedName name="j_33a" localSheetId="1" hidden="1">{#N/A,#N/A,FALSE,"Aging Summary";#N/A,#N/A,FALSE,"Ratio Analysis";#N/A,#N/A,FALSE,"Test 120 Day Accts";#N/A,#N/A,FALSE,"Tickmarks"}</definedName>
    <definedName name="j_33a" hidden="1">{#N/A,#N/A,FALSE,"Aging Summary";#N/A,#N/A,FALSE,"Ratio Analysis";#N/A,#N/A,FALSE,"Test 120 Day Accts";#N/A,#N/A,FALSE,"Tickmarks"}</definedName>
    <definedName name="j_36a" localSheetId="1" hidden="1">{#N/A,#N/A,FALSE,"Aging Summary";#N/A,#N/A,FALSE,"Ratio Analysis";#N/A,#N/A,FALSE,"Test 120 Day Accts";#N/A,#N/A,FALSE,"Tickmarks"}</definedName>
    <definedName name="j_36a" hidden="1">{#N/A,#N/A,FALSE,"Aging Summary";#N/A,#N/A,FALSE,"Ratio Analysis";#N/A,#N/A,FALSE,"Test 120 Day Accts";#N/A,#N/A,FALSE,"Tickmarks"}</definedName>
    <definedName name="j_36p" localSheetId="1" hidden="1">{#N/A,#N/A,FALSE,"Aging Summary";#N/A,#N/A,FALSE,"Ratio Analysis";#N/A,#N/A,FALSE,"Test 120 Day Accts";#N/A,#N/A,FALSE,"Tickmarks"}</definedName>
    <definedName name="j_36p" hidden="1">{#N/A,#N/A,FALSE,"Aging Summary";#N/A,#N/A,FALSE,"Ratio Analysis";#N/A,#N/A,FALSE,"Test 120 Day Accts";#N/A,#N/A,FALSE,"Tickmarks"}</definedName>
    <definedName name="j_38a" localSheetId="1" hidden="1">{#N/A,#N/A,FALSE,"Aging Summary";#N/A,#N/A,FALSE,"Ratio Analysis";#N/A,#N/A,FALSE,"Test 120 Day Accts";#N/A,#N/A,FALSE,"Tickmarks"}</definedName>
    <definedName name="j_38a" hidden="1">{#N/A,#N/A,FALSE,"Aging Summary";#N/A,#N/A,FALSE,"Ratio Analysis";#N/A,#N/A,FALSE,"Test 120 Day Accts";#N/A,#N/A,FALSE,"Tickmarks"}</definedName>
    <definedName name="j_39a" localSheetId="1" hidden="1">{#N/A,#N/A,FALSE,"Aging Summary";#N/A,#N/A,FALSE,"Ratio Analysis";#N/A,#N/A,FALSE,"Test 120 Day Accts";#N/A,#N/A,FALSE,"Tickmarks"}</definedName>
    <definedName name="j_39a" hidden="1">{#N/A,#N/A,FALSE,"Aging Summary";#N/A,#N/A,FALSE,"Ratio Analysis";#N/A,#N/A,FALSE,"Test 120 Day Accts";#N/A,#N/A,FALSE,"Tickmarks"}</definedName>
    <definedName name="j_3p_1" localSheetId="1" hidden="1">{#N/A,#N/A,FALSE,"Aging Summary";#N/A,#N/A,FALSE,"Ratio Analysis";#N/A,#N/A,FALSE,"Test 120 Day Accts";#N/A,#N/A,FALSE,"Tickmarks"}</definedName>
    <definedName name="j_3p_1" hidden="1">{#N/A,#N/A,FALSE,"Aging Summary";#N/A,#N/A,FALSE,"Ratio Analysis";#N/A,#N/A,FALSE,"Test 120 Day Accts";#N/A,#N/A,FALSE,"Tickmarks"}</definedName>
    <definedName name="j_4a1" localSheetId="1" hidden="1">{#N/A,#N/A,FALSE,"Aging Summary";#N/A,#N/A,FALSE,"Ratio Analysis";#N/A,#N/A,FALSE,"Test 120 Day Accts";#N/A,#N/A,FALSE,"Tickmarks"}</definedName>
    <definedName name="j_4a1" hidden="1">{#N/A,#N/A,FALSE,"Aging Summary";#N/A,#N/A,FALSE,"Ratio Analysis";#N/A,#N/A,FALSE,"Test 120 Day Accts";#N/A,#N/A,FALSE,"Tickmarks"}</definedName>
    <definedName name="j_7p" localSheetId="1" hidden="1">{#N/A,#N/A,FALSE,"Aging Summary";#N/A,#N/A,FALSE,"Ratio Analysis";#N/A,#N/A,FALSE,"Test 120 Day Accts";#N/A,#N/A,FALSE,"Tickmarks"}</definedName>
    <definedName name="j_7p" hidden="1">{#N/A,#N/A,FALSE,"Aging Summary";#N/A,#N/A,FALSE,"Ratio Analysis";#N/A,#N/A,FALSE,"Test 120 Day Accts";#N/A,#N/A,FALSE,"Tickmarks"}</definedName>
    <definedName name="j_7pA" localSheetId="1" hidden="1">{#N/A,#N/A,FALSE,"Aging Summary";#N/A,#N/A,FALSE,"Ratio Analysis";#N/A,#N/A,FALSE,"Test 120 Day Accts";#N/A,#N/A,FALSE,"Tickmarks"}</definedName>
    <definedName name="j_7pA" hidden="1">{#N/A,#N/A,FALSE,"Aging Summary";#N/A,#N/A,FALSE,"Ratio Analysis";#N/A,#N/A,FALSE,"Test 120 Day Accts";#N/A,#N/A,FALSE,"Tickmarks"}</definedName>
    <definedName name="j_8a" localSheetId="1" hidden="1">{#N/A,#N/A,FALSE,"Aging Summary";#N/A,#N/A,FALSE,"Ratio Analysis";#N/A,#N/A,FALSE,"Test 120 Day Accts";#N/A,#N/A,FALSE,"Tickmarks"}</definedName>
    <definedName name="j_8a" hidden="1">{#N/A,#N/A,FALSE,"Aging Summary";#N/A,#N/A,FALSE,"Ratio Analysis";#N/A,#N/A,FALSE,"Test 120 Day Accts";#N/A,#N/A,FALSE,"Tickmarks"}</definedName>
    <definedName name="j_ammeded" localSheetId="1" hidden="1">{#N/A,#N/A,FALSE,"Aging Summary";#N/A,#N/A,FALSE,"Ratio Analysis";#N/A,#N/A,FALSE,"Test 120 Day Accts";#N/A,#N/A,FALSE,"Tickmarks"}</definedName>
    <definedName name="j_ammeded" hidden="1">{#N/A,#N/A,FALSE,"Aging Summary";#N/A,#N/A,FALSE,"Ratio Analysis";#N/A,#N/A,FALSE,"Test 120 Day Accts";#N/A,#N/A,FALSE,"Tickmarks"}</definedName>
    <definedName name="jfdfs_1a1" localSheetId="1" hidden="1">{#N/A,#N/A,FALSE,"Aging Summary";#N/A,#N/A,FALSE,"Ratio Analysis";#N/A,#N/A,FALSE,"Test 120 Day Accts";#N/A,#N/A,FALSE,"Tickmarks"}</definedName>
    <definedName name="jfdfs_1a1" hidden="1">{#N/A,#N/A,FALSE,"Aging Summary";#N/A,#N/A,FALSE,"Ratio Analysis";#N/A,#N/A,FALSE,"Test 120 Day Accts";#N/A,#N/A,FALSE,"Tickmarks"}</definedName>
    <definedName name="jfdjfs_1" localSheetId="1" hidden="1">{#N/A,#N/A,FALSE,"Aging Summary";#N/A,#N/A,FALSE,"Ratio Analysis";#N/A,#N/A,FALSE,"Test 120 Day Accts";#N/A,#N/A,FALSE,"Tickmarks"}</definedName>
    <definedName name="jfdjfs_1" hidden="1">{#N/A,#N/A,FALSE,"Aging Summary";#N/A,#N/A,FALSE,"Ratio Analysis";#N/A,#N/A,FALSE,"Test 120 Day Accts";#N/A,#N/A,FALSE,"Tickmarks"}</definedName>
    <definedName name="jfldfs" localSheetId="1" hidden="1">{#N/A,#N/A,FALSE,"Aging Summary";#N/A,#N/A,FALSE,"Ratio Analysis";#N/A,#N/A,FALSE,"Test 120 Day Accts";#N/A,#N/A,FALSE,"Tickmarks"}</definedName>
    <definedName name="jfldfs" hidden="1">{#N/A,#N/A,FALSE,"Aging Summary";#N/A,#N/A,FALSE,"Ratio Analysis";#N/A,#N/A,FALSE,"Test 120 Day Accts";#N/A,#N/A,FALSE,"Tickmarks"}</definedName>
    <definedName name="jfldfs_1" localSheetId="1" hidden="1">{#N/A,#N/A,FALSE,"Aging Summary";#N/A,#N/A,FALSE,"Ratio Analysis";#N/A,#N/A,FALSE,"Test 120 Day Accts";#N/A,#N/A,FALSE,"Tickmarks"}</definedName>
    <definedName name="jfldfs_1" hidden="1">{#N/A,#N/A,FALSE,"Aging Summary";#N/A,#N/A,FALSE,"Ratio Analysis";#N/A,#N/A,FALSE,"Test 120 Day Accts";#N/A,#N/A,FALSE,"Tickmarks"}</definedName>
    <definedName name="jfldfs_12" localSheetId="1" hidden="1">{#N/A,#N/A,FALSE,"Aging Summary";#N/A,#N/A,FALSE,"Ratio Analysis";#N/A,#N/A,FALSE,"Test 120 Day Accts";#N/A,#N/A,FALSE,"Tickmarks"}</definedName>
    <definedName name="jfldfs_12" hidden="1">{#N/A,#N/A,FALSE,"Aging Summary";#N/A,#N/A,FALSE,"Ratio Analysis";#N/A,#N/A,FALSE,"Test 120 Day Accts";#N/A,#N/A,FALSE,"Tickmarks"}</definedName>
    <definedName name="jfldfs_12p" localSheetId="1" hidden="1">{#N/A,#N/A,FALSE,"Aging Summary";#N/A,#N/A,FALSE,"Ratio Analysis";#N/A,#N/A,FALSE,"Test 120 Day Accts";#N/A,#N/A,FALSE,"Tickmarks"}</definedName>
    <definedName name="jfldfs_12p" hidden="1">{#N/A,#N/A,FALSE,"Aging Summary";#N/A,#N/A,FALSE,"Ratio Analysis";#N/A,#N/A,FALSE,"Test 120 Day Accts";#N/A,#N/A,FALSE,"Tickmarks"}</definedName>
    <definedName name="jfldfs_16p" localSheetId="1" hidden="1">{#N/A,#N/A,FALSE,"Aging Summary";#N/A,#N/A,FALSE,"Ratio Analysis";#N/A,#N/A,FALSE,"Test 120 Day Accts";#N/A,#N/A,FALSE,"Tickmarks"}</definedName>
    <definedName name="jfldfs_16p" hidden="1">{#N/A,#N/A,FALSE,"Aging Summary";#N/A,#N/A,FALSE,"Ratio Analysis";#N/A,#N/A,FALSE,"Test 120 Day Accts";#N/A,#N/A,FALSE,"Tickmarks"}</definedName>
    <definedName name="jfldfs_1A" localSheetId="1" hidden="1">{#N/A,#N/A,FALSE,"Aging Summary";#N/A,#N/A,FALSE,"Ratio Analysis";#N/A,#N/A,FALSE,"Test 120 Day Accts";#N/A,#N/A,FALSE,"Tickmarks"}</definedName>
    <definedName name="jfldfs_1A" hidden="1">{#N/A,#N/A,FALSE,"Aging Summary";#N/A,#N/A,FALSE,"Ratio Analysis";#N/A,#N/A,FALSE,"Test 120 Day Accts";#N/A,#N/A,FALSE,"Tickmarks"}</definedName>
    <definedName name="jfldfs_1P" localSheetId="1" hidden="1">{#N/A,#N/A,FALSE,"Aging Summary";#N/A,#N/A,FALSE,"Ratio Analysis";#N/A,#N/A,FALSE,"Test 120 Day Accts";#N/A,#N/A,FALSE,"Tickmarks"}</definedName>
    <definedName name="jfldfs_1P" hidden="1">{#N/A,#N/A,FALSE,"Aging Summary";#N/A,#N/A,FALSE,"Ratio Analysis";#N/A,#N/A,FALSE,"Test 120 Day Accts";#N/A,#N/A,FALSE,"Tickmarks"}</definedName>
    <definedName name="jfldfs_201" localSheetId="1" hidden="1">{#N/A,#N/A,FALSE,"Aging Summary";#N/A,#N/A,FALSE,"Ratio Analysis";#N/A,#N/A,FALSE,"Test 120 Day Accts";#N/A,#N/A,FALSE,"Tickmarks"}</definedName>
    <definedName name="jfldfs_201" hidden="1">{#N/A,#N/A,FALSE,"Aging Summary";#N/A,#N/A,FALSE,"Ratio Analysis";#N/A,#N/A,FALSE,"Test 120 Day Accts";#N/A,#N/A,FALSE,"Tickmarks"}</definedName>
    <definedName name="jfldfs_2010a" localSheetId="1" hidden="1">{#N/A,#N/A,FALSE,"Aging Summary";#N/A,#N/A,FALSE,"Ratio Analysis";#N/A,#N/A,FALSE,"Test 120 Day Accts";#N/A,#N/A,FALSE,"Tickmarks"}</definedName>
    <definedName name="jfldfs_2010a" hidden="1">{#N/A,#N/A,FALSE,"Aging Summary";#N/A,#N/A,FALSE,"Ratio Analysis";#N/A,#N/A,FALSE,"Test 120 Day Accts";#N/A,#N/A,FALSE,"Tickmarks"}</definedName>
    <definedName name="jfldfs_20a" localSheetId="1" hidden="1">{#N/A,#N/A,FALSE,"Aging Summary";#N/A,#N/A,FALSE,"Ratio Analysis";#N/A,#N/A,FALSE,"Test 120 Day Accts";#N/A,#N/A,FALSE,"Tickmarks"}</definedName>
    <definedName name="jfldfs_20a" hidden="1">{#N/A,#N/A,FALSE,"Aging Summary";#N/A,#N/A,FALSE,"Ratio Analysis";#N/A,#N/A,FALSE,"Test 120 Day Accts";#N/A,#N/A,FALSE,"Tickmarks"}</definedName>
    <definedName name="jfldfs_23a" localSheetId="1" hidden="1">{#N/A,#N/A,FALSE,"Aging Summary";#N/A,#N/A,FALSE,"Ratio Analysis";#N/A,#N/A,FALSE,"Test 120 Day Accts";#N/A,#N/A,FALSE,"Tickmarks"}</definedName>
    <definedName name="jfldfs_23a" hidden="1">{#N/A,#N/A,FALSE,"Aging Summary";#N/A,#N/A,FALSE,"Ratio Analysis";#N/A,#N/A,FALSE,"Test 120 Day Accts";#N/A,#N/A,FALSE,"Tickmarks"}</definedName>
    <definedName name="jfldfs_24a" localSheetId="1" hidden="1">{#N/A,#N/A,FALSE,"Aging Summary";#N/A,#N/A,FALSE,"Ratio Analysis";#N/A,#N/A,FALSE,"Test 120 Day Accts";#N/A,#N/A,FALSE,"Tickmarks"}</definedName>
    <definedName name="jfldfs_24a" hidden="1">{#N/A,#N/A,FALSE,"Aging Summary";#N/A,#N/A,FALSE,"Ratio Analysis";#N/A,#N/A,FALSE,"Test 120 Day Accts";#N/A,#N/A,FALSE,"Tickmarks"}</definedName>
    <definedName name="jfldfs_2a" localSheetId="1" hidden="1">{#N/A,#N/A,FALSE,"Aging Summary";#N/A,#N/A,FALSE,"Ratio Analysis";#N/A,#N/A,FALSE,"Test 120 Day Accts";#N/A,#N/A,FALSE,"Tickmarks"}</definedName>
    <definedName name="jfldfs_2a" hidden="1">{#N/A,#N/A,FALSE,"Aging Summary";#N/A,#N/A,FALSE,"Ratio Analysis";#N/A,#N/A,FALSE,"Test 120 Day Accts";#N/A,#N/A,FALSE,"Tickmarks"}</definedName>
    <definedName name="jfldfs_34p" localSheetId="1" hidden="1">{#N/A,#N/A,FALSE,"Aging Summary";#N/A,#N/A,FALSE,"Ratio Analysis";#N/A,#N/A,FALSE,"Test 120 Day Accts";#N/A,#N/A,FALSE,"Tickmarks"}</definedName>
    <definedName name="jfldfs_34p" hidden="1">{#N/A,#N/A,FALSE,"Aging Summary";#N/A,#N/A,FALSE,"Ratio Analysis";#N/A,#N/A,FALSE,"Test 120 Day Accts";#N/A,#N/A,FALSE,"Tickmarks"}</definedName>
    <definedName name="jfldfs_3a_1" localSheetId="1" hidden="1">{#N/A,#N/A,FALSE,"Aging Summary";#N/A,#N/A,FALSE,"Ratio Analysis";#N/A,#N/A,FALSE,"Test 120 Day Accts";#N/A,#N/A,FALSE,"Tickmarks"}</definedName>
    <definedName name="jfldfs_3a_1" hidden="1">{#N/A,#N/A,FALSE,"Aging Summary";#N/A,#N/A,FALSE,"Ratio Analysis";#N/A,#N/A,FALSE,"Test 120 Day Accts";#N/A,#N/A,FALSE,"Tickmarks"}</definedName>
    <definedName name="jfldfs_40a" localSheetId="1" hidden="1">{#N/A,#N/A,FALSE,"Aging Summary";#N/A,#N/A,FALSE,"Ratio Analysis";#N/A,#N/A,FALSE,"Test 120 Day Accts";#N/A,#N/A,FALSE,"Tickmarks"}</definedName>
    <definedName name="jfldfs_40a" hidden="1">{#N/A,#N/A,FALSE,"Aging Summary";#N/A,#N/A,FALSE,"Ratio Analysis";#N/A,#N/A,FALSE,"Test 120 Day Accts";#N/A,#N/A,FALSE,"Tickmarks"}</definedName>
    <definedName name="jfldfs_41A" localSheetId="1" hidden="1">{#N/A,#N/A,FALSE,"Aging Summary";#N/A,#N/A,FALSE,"Ratio Analysis";#N/A,#N/A,FALSE,"Test 120 Day Accts";#N/A,#N/A,FALSE,"Tickmarks"}</definedName>
    <definedName name="jfldfs_41A" hidden="1">{#N/A,#N/A,FALSE,"Aging Summary";#N/A,#N/A,FALSE,"Ratio Analysis";#N/A,#N/A,FALSE,"Test 120 Day Accts";#N/A,#N/A,FALSE,"Tickmarks"}</definedName>
    <definedName name="jfldfs_41P" localSheetId="1" hidden="1">{#N/A,#N/A,FALSE,"Aging Summary";#N/A,#N/A,FALSE,"Ratio Analysis";#N/A,#N/A,FALSE,"Test 120 Day Accts";#N/A,#N/A,FALSE,"Tickmarks"}</definedName>
    <definedName name="jfldfs_41P" hidden="1">{#N/A,#N/A,FALSE,"Aging Summary";#N/A,#N/A,FALSE,"Ratio Analysis";#N/A,#N/A,FALSE,"Test 120 Day Accts";#N/A,#N/A,FALSE,"Tickmarks"}</definedName>
    <definedName name="jfldfs_4a1" localSheetId="1" hidden="1">{#N/A,#N/A,FALSE,"Aging Summary";#N/A,#N/A,FALSE,"Ratio Analysis";#N/A,#N/A,FALSE,"Test 120 Day Accts";#N/A,#N/A,FALSE,"Tickmarks"}</definedName>
    <definedName name="jfldfs_4a1" hidden="1">{#N/A,#N/A,FALSE,"Aging Summary";#N/A,#N/A,FALSE,"Ratio Analysis";#N/A,#N/A,FALSE,"Test 120 Day Accts";#N/A,#N/A,FALSE,"Tickmarks"}</definedName>
    <definedName name="jfldfs_5p_1" localSheetId="1" hidden="1">{#N/A,#N/A,FALSE,"Aging Summary";#N/A,#N/A,FALSE,"Ratio Analysis";#N/A,#N/A,FALSE,"Test 120 Day Accts";#N/A,#N/A,FALSE,"Tickmarks"}</definedName>
    <definedName name="jfldfs_5p_1" hidden="1">{#N/A,#N/A,FALSE,"Aging Summary";#N/A,#N/A,FALSE,"Ratio Analysis";#N/A,#N/A,FALSE,"Test 120 Day Accts";#N/A,#N/A,FALSE,"Tickmarks"}</definedName>
    <definedName name="jfldfs_6a1" localSheetId="1" hidden="1">{#N/A,#N/A,FALSE,"Aging Summary";#N/A,#N/A,FALSE,"Ratio Analysis";#N/A,#N/A,FALSE,"Test 120 Day Accts";#N/A,#N/A,FALSE,"Tickmarks"}</definedName>
    <definedName name="jfldfs_6a1" hidden="1">{#N/A,#N/A,FALSE,"Aging Summary";#N/A,#N/A,FALSE,"Ratio Analysis";#N/A,#N/A,FALSE,"Test 120 Day Accts";#N/A,#N/A,FALSE,"Tickmarks"}</definedName>
    <definedName name="jfldfs_7p" localSheetId="1" hidden="1">{#N/A,#N/A,FALSE,"Aging Summary";#N/A,#N/A,FALSE,"Ratio Analysis";#N/A,#N/A,FALSE,"Test 120 Day Accts";#N/A,#N/A,FALSE,"Tickmarks"}</definedName>
    <definedName name="jfldfs_7p" hidden="1">{#N/A,#N/A,FALSE,"Aging Summary";#N/A,#N/A,FALSE,"Ratio Analysis";#N/A,#N/A,FALSE,"Test 120 Day Accts";#N/A,#N/A,FALSE,"Tickmarks"}</definedName>
    <definedName name="jfldfs_7p1" localSheetId="1" hidden="1">{#N/A,#N/A,FALSE,"Aging Summary";#N/A,#N/A,FALSE,"Ratio Analysis";#N/A,#N/A,FALSE,"Test 120 Day Accts";#N/A,#N/A,FALSE,"Tickmarks"}</definedName>
    <definedName name="jfldfs_7p1" hidden="1">{#N/A,#N/A,FALSE,"Aging Summary";#N/A,#N/A,FALSE,"Ratio Analysis";#N/A,#N/A,FALSE,"Test 120 Day Accts";#N/A,#N/A,FALSE,"Tickmarks"}</definedName>
    <definedName name="jfldfs_8a" localSheetId="1" hidden="1">{#N/A,#N/A,FALSE,"Aging Summary";#N/A,#N/A,FALSE,"Ratio Analysis";#N/A,#N/A,FALSE,"Test 120 Day Accts";#N/A,#N/A,FALSE,"Tickmarks"}</definedName>
    <definedName name="jfldfs_8a" hidden="1">{#N/A,#N/A,FALSE,"Aging Summary";#N/A,#N/A,FALSE,"Ratio Analysis";#N/A,#N/A,FALSE,"Test 120 Day Accts";#N/A,#N/A,FALSE,"Tickmarks"}</definedName>
    <definedName name="jfldfs_8p" localSheetId="1" hidden="1">{#N/A,#N/A,FALSE,"Aging Summary";#N/A,#N/A,FALSE,"Ratio Analysis";#N/A,#N/A,FALSE,"Test 120 Day Accts";#N/A,#N/A,FALSE,"Tickmarks"}</definedName>
    <definedName name="jfldfs_8p" hidden="1">{#N/A,#N/A,FALSE,"Aging Summary";#N/A,#N/A,FALSE,"Ratio Analysis";#N/A,#N/A,FALSE,"Test 120 Day Accts";#N/A,#N/A,FALSE,"Tickmarks"}</definedName>
    <definedName name="jfldfs_8p_v" localSheetId="1" hidden="1">{#N/A,#N/A,FALSE,"Aging Summary";#N/A,#N/A,FALSE,"Ratio Analysis";#N/A,#N/A,FALSE,"Test 120 Day Accts";#N/A,#N/A,FALSE,"Tickmarks"}</definedName>
    <definedName name="jfldfs_8p_v" hidden="1">{#N/A,#N/A,FALSE,"Aging Summary";#N/A,#N/A,FALSE,"Ratio Analysis";#N/A,#N/A,FALSE,"Test 120 Day Accts";#N/A,#N/A,FALSE,"Tickmarks"}</definedName>
    <definedName name="jfldfs_8p11" localSheetId="1" hidden="1">{#N/A,#N/A,FALSE,"Aging Summary";#N/A,#N/A,FALSE,"Ratio Analysis";#N/A,#N/A,FALSE,"Test 120 Day Accts";#N/A,#N/A,FALSE,"Tickmarks"}</definedName>
    <definedName name="jfldfs_8p11" hidden="1">{#N/A,#N/A,FALSE,"Aging Summary";#N/A,#N/A,FALSE,"Ratio Analysis";#N/A,#N/A,FALSE,"Test 120 Day Accts";#N/A,#N/A,FALSE,"Tickmarks"}</definedName>
    <definedName name="jfldfs_9a" localSheetId="1" hidden="1">{#N/A,#N/A,FALSE,"Aging Summary";#N/A,#N/A,FALSE,"Ratio Analysis";#N/A,#N/A,FALSE,"Test 120 Day Accts";#N/A,#N/A,FALSE,"Tickmarks"}</definedName>
    <definedName name="jfldfs_9a" hidden="1">{#N/A,#N/A,FALSE,"Aging Summary";#N/A,#N/A,FALSE,"Ratio Analysis";#N/A,#N/A,FALSE,"Test 120 Day Accts";#N/A,#N/A,FALSE,"Tickmarks"}</definedName>
    <definedName name="jfldfs_9p" localSheetId="1" hidden="1">{#N/A,#N/A,FALSE,"Aging Summary";#N/A,#N/A,FALSE,"Ratio Analysis";#N/A,#N/A,FALSE,"Test 120 Day Accts";#N/A,#N/A,FALSE,"Tickmarks"}</definedName>
    <definedName name="jfldfs_9p" hidden="1">{#N/A,#N/A,FALSE,"Aging Summary";#N/A,#N/A,FALSE,"Ratio Analysis";#N/A,#N/A,FALSE,"Test 120 Day Accts";#N/A,#N/A,FALSE,"Tickmarks"}</definedName>
    <definedName name="jfldjfs" localSheetId="1" hidden="1">{#N/A,#N/A,FALSE,"Aging Summary";#N/A,#N/A,FALSE,"Ratio Analysis";#N/A,#N/A,FALSE,"Test 120 Day Accts";#N/A,#N/A,FALSE,"Tickmarks"}</definedName>
    <definedName name="jfldjfs" hidden="1">{#N/A,#N/A,FALSE,"Aging Summary";#N/A,#N/A,FALSE,"Ratio Analysis";#N/A,#N/A,FALSE,"Test 120 Day Accts";#N/A,#N/A,FALSE,"Tickmarks"}</definedName>
    <definedName name="jfldjfs_1" localSheetId="1" hidden="1">{#N/A,#N/A,FALSE,"Aging Summary";#N/A,#N/A,FALSE,"Ratio Analysis";#N/A,#N/A,FALSE,"Test 120 Day Accts";#N/A,#N/A,FALSE,"Tickmarks"}</definedName>
    <definedName name="jfldjfs_1" hidden="1">{#N/A,#N/A,FALSE,"Aging Summary";#N/A,#N/A,FALSE,"Ratio Analysis";#N/A,#N/A,FALSE,"Test 120 Day Accts";#N/A,#N/A,FALSE,"Tickmarks"}</definedName>
    <definedName name="jfldjfs_11" localSheetId="1" hidden="1">{#N/A,#N/A,FALSE,"Aging Summary";#N/A,#N/A,FALSE,"Ratio Analysis";#N/A,#N/A,FALSE,"Test 120 Day Accts";#N/A,#N/A,FALSE,"Tickmarks"}</definedName>
    <definedName name="jfldjfs_11" hidden="1">{#N/A,#N/A,FALSE,"Aging Summary";#N/A,#N/A,FALSE,"Ratio Analysis";#N/A,#N/A,FALSE,"Test 120 Day Accts";#N/A,#N/A,FALSE,"Tickmarks"}</definedName>
    <definedName name="jfldjfs_2" localSheetId="1" hidden="1">{#N/A,#N/A,FALSE,"Aging Summary";#N/A,#N/A,FALSE,"Ratio Analysis";#N/A,#N/A,FALSE,"Test 120 Day Accts";#N/A,#N/A,FALSE,"Tickmarks"}</definedName>
    <definedName name="jfldjfs_2" hidden="1">{#N/A,#N/A,FALSE,"Aging Summary";#N/A,#N/A,FALSE,"Ratio Analysis";#N/A,#N/A,FALSE,"Test 120 Day Accts";#N/A,#N/A,FALSE,"Tickmarks"}</definedName>
    <definedName name="jfldjfs_40P" localSheetId="1" hidden="1">{#N/A,#N/A,FALSE,"Aging Summary";#N/A,#N/A,FALSE,"Ratio Analysis";#N/A,#N/A,FALSE,"Test 120 Day Accts";#N/A,#N/A,FALSE,"Tickmarks"}</definedName>
    <definedName name="jfldjfs_40P" hidden="1">{#N/A,#N/A,FALSE,"Aging Summary";#N/A,#N/A,FALSE,"Ratio Analysis";#N/A,#N/A,FALSE,"Test 120 Day Accts";#N/A,#N/A,FALSE,"Tickmarks"}</definedName>
    <definedName name="jhgf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hg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jjj"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j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KL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KL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imcount" hidden="1">1</definedName>
    <definedName name="lkjhgf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kjhg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l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l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EWarning" hidden="1">1</definedName>
    <definedName name="midcap" localSheetId="1" hidden="1">{#N/A,#N/A,FALSE,"Int'l "}</definedName>
    <definedName name="midcap" hidden="1">{#N/A,#N/A,FALSE,"Int'l "}</definedName>
    <definedName name="mmmmm"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mmmm"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IM_R"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IM_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nnnnnnnnnn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nnnnnnnnn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ian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ian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ippo" hidden="1">#REF!</definedName>
    <definedName name="pluto" localSheetId="1" hidden="1">{#N/A,#N/A,FALSE,"SINTESI GESTIONALE";#N/A,#N/A,FALSE,"all.1 - LAVORO";#N/A,#N/A,FALSE,"all. 2 - SPESE AMM.TIVE";#N/A,#N/A,FALSE," SINTESI CIVILISTICO";#N/A,#N/A,FALSE,"Commerciale"}</definedName>
    <definedName name="pluto" hidden="1">{#N/A,#N/A,FALSE,"SINTESI GESTIONALE";#N/A,#N/A,FALSE,"all.1 - LAVORO";#N/A,#N/A,FALSE,"all. 2 - SPESE AMM.TIVE";#N/A,#N/A,FALSE," SINTESI CIVILISTICO";#N/A,#N/A,FALSE,"Commerciale"}</definedName>
    <definedName name="pppppppppppppppp"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ppppppppppppppp"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estation">"impression_des_titres"</definedName>
    <definedName name="_xlnm.Print_Area" localSheetId="3">'Amundi US - P&amp;L contribution'!$C$4:$L$28</definedName>
    <definedName name="_xlnm.Print_Area" localSheetId="6">'Assets &amp; flows-by asset classes'!$C$6:$I$43,'Assets &amp; flows-by asset classes'!$C$45:$I$91,'Assets &amp; flows-by asset classes'!$N$6:$AJ$43,'Assets &amp; flows-by asset classes'!$N$45:$AJ$91</definedName>
    <definedName name="_xlnm.Print_Area" localSheetId="7">'Assets &amp; flows-by geographies'!$C$6:$I$27,'Assets &amp; flows-by geographies'!$N$6:$AJ$27</definedName>
    <definedName name="_xlnm.Print_Area" localSheetId="5">'Assets &amp; flows-by segments'!$C$6:$I$73,'Assets &amp; flows-by segments'!$K$6:$AG$73</definedName>
    <definedName name="_xlnm.Print_Area" localSheetId="0">Content!$A$13:$R$69</definedName>
    <definedName name="_xlnm.Print_Area" localSheetId="4">'Group P&amp;L (2025 Historical)'!$E$4:$O$69,'Group P&amp;L (2025 Historical)'!$Q$4:$AM$69</definedName>
    <definedName name="_xlnm.Print_Area" localSheetId="2">'Group P&amp;L (2025 pro forma)'!$E$4:$Q$68,'Group P&amp;L (2025 pro forma)'!$S$4:$AI$68</definedName>
    <definedName name="_xlnm.Print_Area" localSheetId="1">'P&amp;L &amp; Consensus'!$E$8:$AQ$112</definedName>
    <definedName name="_xlnm.Print_Area" localSheetId="8">Shareholding!$E$5:$S$16</definedName>
    <definedName name="_xlnm.Print_Titles" localSheetId="6">'Assets &amp; flows-by asset classes'!$C:$D</definedName>
    <definedName name="_xlnm.Print_Titles" localSheetId="7">'Assets &amp; flows-by geographies'!$C:$D</definedName>
    <definedName name="_xlnm.Print_Titles" localSheetId="5">'Assets &amp; flows-by segments'!$C:$D</definedName>
    <definedName name="_xlnm.Print_Titles" localSheetId="4">'Group P&amp;L (2025 Historical)'!$C:$D</definedName>
    <definedName name="_xlnm.Print_Titles" localSheetId="2">'Group P&amp;L (2025 pro forma)'!$C:$D</definedName>
    <definedName name="_xlnm.Print_Titles" localSheetId="8">Shareholding!$C:$D</definedName>
    <definedName name="Progetti_HL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getti_HL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v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v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 localSheetId="1" hidden="1">{#N/A,#N/A,FALSE,"SINTESI GESTIONALE";#N/A,#N/A,FALSE,"all.1 - LAVORO";#N/A,#N/A,FALSE,"all. 2 - SPESE AMM.TIVE";#N/A,#N/A,FALSE," SINTESI CIVILISTICO";#N/A,#N/A,FALSE,"Commerciale"}</definedName>
    <definedName name="QQQ" hidden="1">{#N/A,#N/A,FALSE,"SINTESI GESTIONALE";#N/A,#N/A,FALSE,"all.1 - LAVORO";#N/A,#N/A,FALSE,"all. 2 - SPESE AMM.TIVE";#N/A,#N/A,FALSE," SINTESI CIVILISTICO";#N/A,#N/A,FALSE,"Commerciale"}</definedName>
    <definedName name="qqqqqqq"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qqqq"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qqqqqqqqq"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qqqqqqqqq"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s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s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u" hidden="1">#REF!</definedName>
    <definedName name="QUEES" localSheetId="1" hidden="1">#REF!</definedName>
    <definedName name="QUEES" hidden="1">#REF!</definedName>
    <definedName name="QUEES2" localSheetId="1" hidden="1">#REF!</definedName>
    <definedName name="QUEES2" hidden="1">#REF!</definedName>
    <definedName name="QUEES3" localSheetId="1" hidden="1">#REF!</definedName>
    <definedName name="QUEES3" hidden="1">#REF!</definedName>
    <definedName name="QUEES4" localSheetId="1" hidden="1">#REF!</definedName>
    <definedName name="QUEES4" hidden="1">#REF!</definedName>
    <definedName name="QUEES6" localSheetId="1" hidden="1">#REF!</definedName>
    <definedName name="QUEES6" hidden="1">#REF!</definedName>
    <definedName name="qwdqwdwq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wdqwdwq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al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al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d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d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isk_old" localSheetId="1" hidden="1">{#N/A,#N/A,FALSE,"SINTESI GESTIONALE";#N/A,#N/A,FALSE,"all.1 - LAVORO";#N/A,#N/A,FALSE,"all. 2 - SPESE AMM.TIVE";#N/A,#N/A,FALSE," SINTESI CIVILISTICO";#N/A,#N/A,FALSE,"Commerciale"}</definedName>
    <definedName name="risk_old" hidden="1">{#N/A,#N/A,FALSE,"SINTESI GESTIONALE";#N/A,#N/A,FALSE,"all.1 - LAVORO";#N/A,#N/A,FALSE,"all. 2 - SPESE AMM.TIVE";#N/A,#N/A,FALSE," SINTESI CIVILISTICO";#N/A,#N/A,FALSE,"Commerciale"}</definedName>
    <definedName name="RP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P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R"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h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h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y"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abadell" localSheetId="1" hidden="1">{#N/A,#N/A,FALSE,"SINTESI GESTIONALE";#N/A,#N/A,FALSE,"all.1 - LAVORO";#N/A,#N/A,FALSE,"all. 2 - SPESE AMM.TIVE";#N/A,#N/A,FALSE," SINTESI CIVILISTICO";#N/A,#N/A,FALSE,"Commerciale"}</definedName>
    <definedName name="Sabadell" hidden="1">{#N/A,#N/A,FALSE,"SINTESI GESTIONALE";#N/A,#N/A,FALSE,"all.1 - LAVORO";#N/A,#N/A,FALSE,"all. 2 - SPESE AMM.TIVE";#N/A,#N/A,FALSE," SINTESI CIVILISTICO";#N/A,#N/A,FALSE,"Commerciale"}</definedName>
    <definedName name="SAPBEXhrIndnt" hidden="1">1</definedName>
    <definedName name="sapbexmarti" hidden="1">"3YATUFNUXBGAG0J4B9EW5OKR0"</definedName>
    <definedName name="SAPBEXrevision" hidden="1">1</definedName>
    <definedName name="SAPBEXsysID" hidden="1">"EBP"</definedName>
    <definedName name="SAPBEXwbID" hidden="1">"3JYBIAPDU09NPFFACYMJ89DNR"</definedName>
    <definedName name="SAPsysID" hidden="1">"708C5W7SBKP804JT78WJ0JNKI"</definedName>
    <definedName name="SAPwbID" hidden="1">"ARS"</definedName>
    <definedName name="sas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as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dfsf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dfsf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egmental" localSheetId="1" hidden="1">{"P and L",#N/A,FALSE,"Financial Output";"Cashflow",#N/A,FALSE,"Financial Output";"Balance Sheet",#N/A,FALSE,"Financial Output"}</definedName>
    <definedName name="Segmental" hidden="1">{"P and L",#N/A,FALSE,"Financial Output";"Cashflow",#N/A,FALSE,"Financial Output";"Balance Sheet",#N/A,FALSE,"Financial Output"}</definedName>
    <definedName name="sencount" hidden="1">2</definedName>
    <definedName name="SIG_CCA2106_firstLine" hidden="1">#REF!</definedName>
    <definedName name="SIG_CCA2106_H001" hidden="1">#REF!</definedName>
    <definedName name="SIG_CCA2106_H002" hidden="1">#REF!</definedName>
    <definedName name="SIG_CCA2106_H003" hidden="1">#REF!</definedName>
    <definedName name="SIG_CCA2106_H004" hidden="1">#REF!</definedName>
    <definedName name="SIG_CCA2106_H005" hidden="1">#REF!</definedName>
    <definedName name="SIG_CCA2106_H006" hidden="1">#REF!</definedName>
    <definedName name="SIG_CCA2106_H007" hidden="1">#REF!</definedName>
    <definedName name="SIG_CCA2106_H008" hidden="1">#REF!</definedName>
    <definedName name="SIG_CCA2106_H009" hidden="1">#REF!</definedName>
    <definedName name="SIG_CCA2106_H010" hidden="1">#REF!</definedName>
    <definedName name="SIG_CCA2106_H011" hidden="1">#REF!</definedName>
    <definedName name="SIG_CCA2106_H012" hidden="1">#REF!</definedName>
    <definedName name="SIG_CCA2106_IsControlOK" hidden="1">#REF!</definedName>
    <definedName name="SIG_CCA2106_lastLine" hidden="1">#REF!</definedName>
    <definedName name="SIG_CCA2106_TITLELINE" hidden="1">#REF!</definedName>
    <definedName name="SIG_CCA2107_firstLine" hidden="1">#REF!</definedName>
    <definedName name="SIG_CCA2107_H001" hidden="1">#REF!</definedName>
    <definedName name="SIG_CCA2107_H002" hidden="1">#REF!</definedName>
    <definedName name="SIG_CCA2107_H003" hidden="1">#REF!</definedName>
    <definedName name="SIG_CCA2107_H004" hidden="1">#REF!</definedName>
    <definedName name="SIG_CCA2107_H005" hidden="1">#REF!</definedName>
    <definedName name="SIG_CCA2107_H006" hidden="1">#REF!</definedName>
    <definedName name="SIG_CCA2107_H007" hidden="1">#REF!</definedName>
    <definedName name="SIG_CCA2107_H008" hidden="1">#REF!</definedName>
    <definedName name="SIG_CCA2107_H009" hidden="1">#REF!</definedName>
    <definedName name="SIG_CCA2107_H010" hidden="1">#REF!</definedName>
    <definedName name="SIG_CCA2107_H011" hidden="1">#REF!</definedName>
    <definedName name="SIG_CCA2107_H012" hidden="1">#REF!</definedName>
    <definedName name="SIG_CCA2107_IsControlOK" hidden="1">#REF!</definedName>
    <definedName name="SIG_CCA2107_lastLine" hidden="1">#REF!</definedName>
    <definedName name="SIG_CCA2107_TITLELINE" hidden="1">#REF!</definedName>
    <definedName name="SIG_CCA2108_firstLine" hidden="1">#REF!</definedName>
    <definedName name="SIG_CCA2108_H001" hidden="1">#REF!</definedName>
    <definedName name="SIG_CCA2108_H002" hidden="1">#REF!</definedName>
    <definedName name="SIG_CCA2108_H003" hidden="1">#REF!</definedName>
    <definedName name="SIG_CCA2108_H004" hidden="1">#REF!</definedName>
    <definedName name="SIG_CCA2108_H005" hidden="1">#REF!</definedName>
    <definedName name="SIG_CCA2108_H006" hidden="1">#REF!</definedName>
    <definedName name="SIG_CCA2108_H007" hidden="1">#REF!</definedName>
    <definedName name="SIG_CCA2108_H008" hidden="1">#REF!</definedName>
    <definedName name="SIG_CCA2108_H009" hidden="1">#REF!</definedName>
    <definedName name="SIG_CCA2108_H010" hidden="1">#REF!</definedName>
    <definedName name="SIG_CCA2108_H011" hidden="1">#REF!</definedName>
    <definedName name="SIG_CCA2108_H012" hidden="1">#REF!</definedName>
    <definedName name="SIG_CCA2108_IsControlOK" hidden="1">#REF!</definedName>
    <definedName name="SIG_CCA2108_lastLine" hidden="1">#REF!</definedName>
    <definedName name="SIG_CCA2108_TITLELINE" hidden="1">#REF!</definedName>
    <definedName name="SIG_CCA3010_firstLine" hidden="1">#REF!</definedName>
    <definedName name="SIG_CCA3010_H001" hidden="1">#REF!</definedName>
    <definedName name="SIG_CCA3010_H002" hidden="1">#REF!</definedName>
    <definedName name="SIG_CCA3010_H003" hidden="1">#REF!</definedName>
    <definedName name="SIG_CCA3010_H004" hidden="1">#REF!</definedName>
    <definedName name="SIG_CCA3010_H005" hidden="1">#REF!</definedName>
    <definedName name="SIG_CCA3010_H006" hidden="1">#REF!</definedName>
    <definedName name="SIG_CCA3010_H007" hidden="1">#REF!</definedName>
    <definedName name="SIG_CCA3010_H008" hidden="1">#REF!</definedName>
    <definedName name="SIG_CCA3010_H009" hidden="1">#REF!</definedName>
    <definedName name="SIG_CCA3010_H010" hidden="1">#REF!</definedName>
    <definedName name="SIG_CCA3010_H011" hidden="1">#REF!</definedName>
    <definedName name="SIG_CCA3010_H012" hidden="1">#REF!</definedName>
    <definedName name="SIG_CCA3010_IsControlOK" hidden="1">#REF!</definedName>
    <definedName name="SIG_CCA3010_lastLine" hidden="1">#REF!</definedName>
    <definedName name="SIG_CCA3010_TITLELINE" hidden="1">#REF!</definedName>
    <definedName name="SIG_CCCRPV1_firstLine" hidden="1">#REF!</definedName>
    <definedName name="SIG_CCCRPV1_H001" hidden="1">#REF!</definedName>
    <definedName name="SIG_CCCRPV1_H002" hidden="1">#REF!</definedName>
    <definedName name="SIG_CCCRPV1_H003" hidden="1">#REF!</definedName>
    <definedName name="SIG_CCCRPV1_H004" hidden="1">#REF!</definedName>
    <definedName name="SIG_CCCRPV1_H005" hidden="1">#REF!</definedName>
    <definedName name="SIG_CCCRPV1_H006" hidden="1">#REF!</definedName>
    <definedName name="SIG_CCCRPV1_H007" hidden="1">#REF!</definedName>
    <definedName name="SIG_CCCRPV1_H008" hidden="1">#REF!</definedName>
    <definedName name="SIG_CCCRPV1_H009" hidden="1">#REF!</definedName>
    <definedName name="SIG_CCCRPV1_H010" hidden="1">#REF!</definedName>
    <definedName name="SIG_CCCRPV1_H011" hidden="1">#REF!</definedName>
    <definedName name="SIG_CCCRPV1_H012" hidden="1">#REF!</definedName>
    <definedName name="SIG_CCCRPV1_IsControlOK" hidden="1">#REF!</definedName>
    <definedName name="SIG_CCCRPV1_lastLine" hidden="1">#REF!</definedName>
    <definedName name="SIG_CCCRPV1_TITLELINE" hidden="1">#REF!</definedName>
    <definedName name="SIG_CCCRPV2_firstLine" hidden="1">#REF!</definedName>
    <definedName name="SIG_CCCRPV2_H001" hidden="1">#REF!</definedName>
    <definedName name="SIG_CCCRPV2_H002" hidden="1">#REF!</definedName>
    <definedName name="SIG_CCCRPV2_H003" hidden="1">#REF!</definedName>
    <definedName name="SIG_CCCRPV2_H004" hidden="1">#REF!</definedName>
    <definedName name="SIG_CCCRPV2_H005" hidden="1">#REF!</definedName>
    <definedName name="SIG_CCCRPV2_H006" hidden="1">#REF!</definedName>
    <definedName name="SIG_CCCRPV2_H007" hidden="1">#REF!</definedName>
    <definedName name="SIG_CCCRPV2_H008" hidden="1">#REF!</definedName>
    <definedName name="SIG_CCCRPV2_H009" hidden="1">#REF!</definedName>
    <definedName name="SIG_CCCRPV2_H010" hidden="1">#REF!</definedName>
    <definedName name="SIG_CCCRPV2_H011" hidden="1">#REF!</definedName>
    <definedName name="SIG_CCCRPV2_H012" hidden="1">#REF!</definedName>
    <definedName name="SIG_CCCRPV2_IsControlOK" hidden="1">#REF!</definedName>
    <definedName name="SIG_CCCRPV2_lastLine" hidden="1">#REF!</definedName>
    <definedName name="SIG_CCCRPV2_TITLELINE" hidden="1">#REF!</definedName>
    <definedName name="SIG_CCCRPV3_firstLine" hidden="1">#REF!</definedName>
    <definedName name="SIG_CCCRPV3_H001" hidden="1">#REF!</definedName>
    <definedName name="SIG_CCCRPV3_H002" hidden="1">#REF!</definedName>
    <definedName name="SIG_CCCRPV3_H003" hidden="1">#REF!</definedName>
    <definedName name="SIG_CCCRPV3_H004" hidden="1">#REF!</definedName>
    <definedName name="SIG_CCCRPV3_H005" hidden="1">#REF!</definedName>
    <definedName name="SIG_CCCRPV3_H006" hidden="1">#REF!</definedName>
    <definedName name="SIG_CCCRPV3_H007" hidden="1">#REF!</definedName>
    <definedName name="SIG_CCCRPV3_H008" hidden="1">#REF!</definedName>
    <definedName name="SIG_CCCRPV3_H009" hidden="1">#REF!</definedName>
    <definedName name="SIG_CCCRPV3_H010" hidden="1">#REF!</definedName>
    <definedName name="SIG_CCCRPV3_H011" hidden="1">#REF!</definedName>
    <definedName name="SIG_CCCRPV3_H012" hidden="1">#REF!</definedName>
    <definedName name="SIG_CCCRPV3_H013" hidden="1">#REF!</definedName>
    <definedName name="SIG_CCCRPV3_IsControlOK" hidden="1">#REF!</definedName>
    <definedName name="SIG_CCCRPV3_lastLine" hidden="1">#REF!</definedName>
    <definedName name="SIG_CCCRPV3_TITLELINE" hidden="1">#REF!</definedName>
    <definedName name="SIG_CCCRPV4_firstLine" hidden="1">#REF!</definedName>
    <definedName name="SIG_CCCRPV4_H001" hidden="1">#REF!</definedName>
    <definedName name="SIG_CCCRPV4_H002" hidden="1">#REF!</definedName>
    <definedName name="SIG_CCCRPV4_H003" hidden="1">#REF!</definedName>
    <definedName name="SIG_CCCRPV4_H004" hidden="1">#REF!</definedName>
    <definedName name="SIG_CCCRPV4_H005" hidden="1">#REF!</definedName>
    <definedName name="SIG_CCCRPV4_H006" hidden="1">#REF!</definedName>
    <definedName name="SIG_CCCRPV4_H007" hidden="1">#REF!</definedName>
    <definedName name="SIG_CCCRPV4_H008" hidden="1">#REF!</definedName>
    <definedName name="SIG_CCCRPV4_H009" hidden="1">#REF!</definedName>
    <definedName name="SIG_CCCRPV4_H010" hidden="1">#REF!</definedName>
    <definedName name="SIG_CCCRPV4_H011" hidden="1">#REF!</definedName>
    <definedName name="SIG_CCCRPV4_H012" hidden="1">#REF!</definedName>
    <definedName name="SIG_CCCRPV4_H013" hidden="1">#REF!</definedName>
    <definedName name="SIG_CCCRPV4_IsControlOK" hidden="1">#REF!</definedName>
    <definedName name="SIG_CCCRPV4_lastLine" hidden="1">#REF!</definedName>
    <definedName name="SIG_CCCRPV4_TITLELINE" hidden="1">#REF!</definedName>
    <definedName name="SIG_CCCRPV5_firstLine" hidden="1">#REF!</definedName>
    <definedName name="SIG_CCCRPV5_H001" hidden="1">#REF!</definedName>
    <definedName name="SIG_CCCRPV5_H002" hidden="1">#REF!</definedName>
    <definedName name="SIG_CCCRPV5_H003" hidden="1">#REF!</definedName>
    <definedName name="SIG_CCCRPV5_H004" hidden="1">#REF!</definedName>
    <definedName name="SIG_CCCRPV5_H005" hidden="1">#REF!</definedName>
    <definedName name="SIG_CCCRPV5_H006" hidden="1">#REF!</definedName>
    <definedName name="SIG_CCCRPV5_H007" hidden="1">#REF!</definedName>
    <definedName name="SIG_CCCRPV5_H008" hidden="1">#REF!</definedName>
    <definedName name="SIG_CCCRPV5_H009" hidden="1">#REF!</definedName>
    <definedName name="SIG_CCCRPV5_H010" hidden="1">#REF!</definedName>
    <definedName name="SIG_CCCRPV5_H011" hidden="1">#REF!</definedName>
    <definedName name="SIG_CCCRPV5_H012" hidden="1">#REF!</definedName>
    <definedName name="SIG_CCCRPV5_H013" hidden="1">#REF!</definedName>
    <definedName name="SIG_CCCRPV5_IsControlOK" hidden="1">#REF!</definedName>
    <definedName name="SIG_CCCRPV5_lastLine" hidden="1">#REF!</definedName>
    <definedName name="SIG_CCCRPV5_TITLELINE" hidden="1">#REF!</definedName>
    <definedName name="SIG_CCR1400A_firstLine" hidden="1">#REF!</definedName>
    <definedName name="SIG_CCR1400A_H247" hidden="1">#REF!</definedName>
    <definedName name="SIG_CCR1400A_H248" hidden="1">#REF!</definedName>
    <definedName name="SIG_CCR1400A_H249" hidden="1">#REF!</definedName>
    <definedName name="SIG_CCR1400A_H250" hidden="1">#REF!</definedName>
    <definedName name="SIG_CCR1400A_H251" hidden="1">#REF!</definedName>
    <definedName name="SIG_CCR1400A_H252" hidden="1">#REF!</definedName>
    <definedName name="SIG_CCR1400A_H253" hidden="1">#REF!</definedName>
    <definedName name="SIG_CCR1400A_H254" hidden="1">#REF!</definedName>
    <definedName name="SIG_CCR1400A_H255" hidden="1">#REF!</definedName>
    <definedName name="SIG_CCR1400A_H256" hidden="1">#REF!</definedName>
    <definedName name="SIG_CCR1400A_H257" hidden="1">#REF!</definedName>
    <definedName name="SIG_CCR1400A_H258" hidden="1">#REF!</definedName>
    <definedName name="SIG_CCR1400A_IsControlOK" hidden="1">#REF!</definedName>
    <definedName name="SIG_CCR1400A_lastLine" hidden="1">#REF!</definedName>
    <definedName name="SIG_CCR1400A_TITLECOL" hidden="1">#REF!</definedName>
    <definedName name="SIG_CCR1400A_TITLELINE" hidden="1">#REF!</definedName>
    <definedName name="SIG_CCR1400B_firstLine" hidden="1">#REF!</definedName>
    <definedName name="SIG_CCR1400B_H247" hidden="1">#REF!</definedName>
    <definedName name="SIG_CCR1400B_H248" hidden="1">#REF!</definedName>
    <definedName name="SIG_CCR1400B_H249" hidden="1">#REF!</definedName>
    <definedName name="SIG_CCR1400B_H250" hidden="1">#REF!</definedName>
    <definedName name="SIG_CCR1400B_H251" hidden="1">#REF!</definedName>
    <definedName name="SIG_CCR1400B_H252" hidden="1">#REF!</definedName>
    <definedName name="SIG_CCR1400B_H253" hidden="1">#REF!</definedName>
    <definedName name="SIG_CCR1400B_H254" hidden="1">#REF!</definedName>
    <definedName name="SIG_CCR1400B_H255" hidden="1">#REF!</definedName>
    <definedName name="SIG_CCR1400B_H256" hidden="1">#REF!</definedName>
    <definedName name="SIG_CCR1400B_H257" hidden="1">#REF!</definedName>
    <definedName name="SIG_CCR1400B_H258" hidden="1">#REF!</definedName>
    <definedName name="SIG_CCR1400B_IsControlOK" hidden="1">#REF!</definedName>
    <definedName name="SIG_CCR1400B_lastLine" hidden="1">#REF!</definedName>
    <definedName name="SIG_CCR1400B_TITLECOL" hidden="1">#REF!</definedName>
    <definedName name="SIG_CCR1400B_TITLELINE" hidden="1">#REF!</definedName>
    <definedName name="SIG_CCR1400C_firstLine" hidden="1">#REF!</definedName>
    <definedName name="SIG_CCR1400C_H247" hidden="1">#REF!</definedName>
    <definedName name="SIG_CCR1400C_H248" hidden="1">#REF!</definedName>
    <definedName name="SIG_CCR1400C_H249" hidden="1">#REF!</definedName>
    <definedName name="SIG_CCR1400C_H250" hidden="1">#REF!</definedName>
    <definedName name="SIG_CCR1400C_H251" hidden="1">#REF!</definedName>
    <definedName name="SIG_CCR1400C_H252" hidden="1">#REF!</definedName>
    <definedName name="SIG_CCR1400C_H253" hidden="1">#REF!</definedName>
    <definedName name="SIG_CCR1400C_H254" hidden="1">#REF!</definedName>
    <definedName name="SIG_CCR1400C_H255" hidden="1">#REF!</definedName>
    <definedName name="SIG_CCR1400C_H256" hidden="1">#REF!</definedName>
    <definedName name="SIG_CCR1400C_H257" hidden="1">#REF!</definedName>
    <definedName name="SIG_CCR1400C_H258" hidden="1">#REF!</definedName>
    <definedName name="SIG_CCR1400C_IsControlOK" hidden="1">#REF!</definedName>
    <definedName name="SIG_CCR1400C_lastLine" hidden="1">#REF!</definedName>
    <definedName name="SIG_CCR1400C_TITLECOL" hidden="1">#REF!</definedName>
    <definedName name="SIG_CCR1400C_TITLELINE" hidden="1">#REF!</definedName>
    <definedName name="SIG_CCR1400D_firstLine" hidden="1">#REF!</definedName>
    <definedName name="SIG_CCR1400D_H247" hidden="1">#REF!</definedName>
    <definedName name="SIG_CCR1400D_H248" hidden="1">#REF!</definedName>
    <definedName name="SIG_CCR1400D_H249" hidden="1">#REF!</definedName>
    <definedName name="SIG_CCR1400D_H250" hidden="1">#REF!</definedName>
    <definedName name="SIG_CCR1400D_H251" hidden="1">#REF!</definedName>
    <definedName name="SIG_CCR1400D_H252" hidden="1">#REF!</definedName>
    <definedName name="SIG_CCR1400D_H253" hidden="1">#REF!</definedName>
    <definedName name="SIG_CCR1400D_H254" hidden="1">#REF!</definedName>
    <definedName name="SIG_CCR1400D_H255" hidden="1">#REF!</definedName>
    <definedName name="SIG_CCR1400D_H256" hidden="1">#REF!</definedName>
    <definedName name="SIG_CCR1400D_H257" hidden="1">#REF!</definedName>
    <definedName name="SIG_CCR1400D_H258" hidden="1">#REF!</definedName>
    <definedName name="SIG_CCR1400D_IsControlOK" hidden="1">#REF!</definedName>
    <definedName name="SIG_CCR1400D_lastLine" hidden="1">#REF!</definedName>
    <definedName name="SIG_CCR1400D_TITLECOL" hidden="1">#REF!</definedName>
    <definedName name="SIG_CCR1400D_TITLELINE" hidden="1">#REF!</definedName>
    <definedName name="SIG_CCR1400E_firstLine" hidden="1">#REF!</definedName>
    <definedName name="SIG_CCR1400E_H247" hidden="1">#REF!</definedName>
    <definedName name="SIG_CCR1400E_H248" hidden="1">#REF!</definedName>
    <definedName name="SIG_CCR1400E_H249" hidden="1">#REF!</definedName>
    <definedName name="SIG_CCR1400E_H250" hidden="1">#REF!</definedName>
    <definedName name="SIG_CCR1400E_H251" hidden="1">#REF!</definedName>
    <definedName name="SIG_CCR1400E_H252" hidden="1">#REF!</definedName>
    <definedName name="SIG_CCR1400E_H253" hidden="1">#REF!</definedName>
    <definedName name="SIG_CCR1400E_H254" hidden="1">#REF!</definedName>
    <definedName name="SIG_CCR1400E_H255" hidden="1">#REF!</definedName>
    <definedName name="SIG_CCR1400E_H256" hidden="1">#REF!</definedName>
    <definedName name="SIG_CCR1400E_H257" hidden="1">#REF!</definedName>
    <definedName name="SIG_CCR1400E_H258" hidden="1">#REF!</definedName>
    <definedName name="SIG_CCR1400E_IsControlOK" hidden="1">#REF!</definedName>
    <definedName name="SIG_CCR1400E_lastLine" hidden="1">#REF!</definedName>
    <definedName name="SIG_CCR1400E_TITLECOL" hidden="1">#REF!</definedName>
    <definedName name="SIG_CCR1400E_TITLELINE" hidden="1">#REF!</definedName>
    <definedName name="SIG_CCR1400F_firstLine" hidden="1">#REF!</definedName>
    <definedName name="SIG_CCR1400F_H247" hidden="1">#REF!</definedName>
    <definedName name="SIG_CCR1400F_H248" hidden="1">#REF!</definedName>
    <definedName name="SIG_CCR1400F_H249" hidden="1">#REF!</definedName>
    <definedName name="SIG_CCR1400F_H250" hidden="1">#REF!</definedName>
    <definedName name="SIG_CCR1400F_H251" hidden="1">#REF!</definedName>
    <definedName name="SIG_CCR1400F_H252" hidden="1">#REF!</definedName>
    <definedName name="SIG_CCR1400F_H253" hidden="1">#REF!</definedName>
    <definedName name="SIG_CCR1400F_H254" hidden="1">#REF!</definedName>
    <definedName name="SIG_CCR1400F_H255" hidden="1">#REF!</definedName>
    <definedName name="SIG_CCR1400F_H256" hidden="1">#REF!</definedName>
    <definedName name="SIG_CCR1400F_H257" hidden="1">#REF!</definedName>
    <definedName name="SIG_CCR1400F_H258" hidden="1">#REF!</definedName>
    <definedName name="SIG_CCR1400F_IsControlOK" hidden="1">#REF!</definedName>
    <definedName name="SIG_CCR1400F_lastLine" hidden="1">#REF!</definedName>
    <definedName name="SIG_CCR1400F_TITLECOL" hidden="1">#REF!</definedName>
    <definedName name="SIG_CCR1400F_TITLELINE" hidden="1">#REF!</definedName>
    <definedName name="SIG_CCR1400G_firstLine" hidden="1">#REF!</definedName>
    <definedName name="SIG_CCR1400G_H247" hidden="1">#REF!</definedName>
    <definedName name="SIG_CCR1400G_H248" hidden="1">#REF!</definedName>
    <definedName name="SIG_CCR1400G_H249" hidden="1">#REF!</definedName>
    <definedName name="SIG_CCR1400G_H250" hidden="1">#REF!</definedName>
    <definedName name="SIG_CCR1400G_H251" hidden="1">#REF!</definedName>
    <definedName name="SIG_CCR1400G_H252" hidden="1">#REF!</definedName>
    <definedName name="SIG_CCR1400G_H253" hidden="1">#REF!</definedName>
    <definedName name="SIG_CCR1400G_H254" hidden="1">#REF!</definedName>
    <definedName name="SIG_CCR1400G_H255" hidden="1">#REF!</definedName>
    <definedName name="SIG_CCR1400G_H256" hidden="1">#REF!</definedName>
    <definedName name="SIG_CCR1400G_H257" hidden="1">#REF!</definedName>
    <definedName name="SIG_CCR1400G_H258" hidden="1">#REF!</definedName>
    <definedName name="SIG_CCR1400G_IsControlOK" hidden="1">#REF!</definedName>
    <definedName name="SIG_CCR1400G_lastLine" hidden="1">#REF!</definedName>
    <definedName name="SIG_CCR1400G_TITLECOL" hidden="1">#REF!</definedName>
    <definedName name="SIG_CCR1400G_TITLELINE" hidden="1">#REF!</definedName>
    <definedName name="SIG_CCRA101_H178" hidden="1">#REF!</definedName>
    <definedName name="SIG_CCRA101_H179" hidden="1">#REF!</definedName>
    <definedName name="SIG_CCRA101_H180" hidden="1">#REF!</definedName>
    <definedName name="SIG_CCRA101_H181" hidden="1">#REF!</definedName>
    <definedName name="SIG_CCRA101_H182" hidden="1">#REF!</definedName>
    <definedName name="SIG_CCRA101_H183" hidden="1">#REF!</definedName>
    <definedName name="SIG_CCRA101_H184" hidden="1">#REF!</definedName>
    <definedName name="SIG_CCRA101_H185" hidden="1">#REF!</definedName>
    <definedName name="SIG_CCRA101_H186" hidden="1">#REF!</definedName>
    <definedName name="SIG_CCRA101_H187" hidden="1">#REF!</definedName>
    <definedName name="SIG_CCRA101_H188" hidden="1">#REF!</definedName>
    <definedName name="SIG_CCRA101_H189" hidden="1">#REF!</definedName>
    <definedName name="SIG_CCRA101_H190" hidden="1">#REF!</definedName>
    <definedName name="SIG_CCRA501_firstLine" hidden="1">#REF!</definedName>
    <definedName name="SIG_CCRA501_H219" hidden="1">#REF!</definedName>
    <definedName name="SIG_CCRA501_H220" hidden="1">#REF!</definedName>
    <definedName name="SIG_CCRA501_H221" hidden="1">#REF!</definedName>
    <definedName name="SIG_CCRA501_H222" hidden="1">#REF!</definedName>
    <definedName name="SIG_CCRA501_H223" hidden="1">#REF!</definedName>
    <definedName name="SIG_CCRA501_H224" hidden="1">#REF!</definedName>
    <definedName name="SIG_CCRA501_H225" hidden="1">#REF!</definedName>
    <definedName name="SIG_CCRA501_H226" hidden="1">#REF!</definedName>
    <definedName name="SIG_CCRA501_H227" hidden="1">#REF!</definedName>
    <definedName name="SIG_CCRA501_H228" hidden="1">#REF!</definedName>
    <definedName name="SIG_CCRA501_H229" hidden="1">#REF!</definedName>
    <definedName name="SIG_CCRA501_H230" hidden="1">#REF!</definedName>
    <definedName name="SIG_CCRA501_H231" hidden="1">#REF!</definedName>
    <definedName name="SIG_CCRA501_IsControlOK" hidden="1">#REF!</definedName>
    <definedName name="SIG_CCRA501_lastLine" hidden="1">#REF!</definedName>
    <definedName name="SIG_CCRA501_TITLECOL" hidden="1">#REF!</definedName>
    <definedName name="SIG_CCRA501_TITLELINE" hidden="1">#REF!</definedName>
    <definedName name="SIG_CONTROLE" hidden="1">#REF!</definedName>
    <definedName name="SIG_DERNIERECOLONNE" hidden="1">#REF!</definedName>
    <definedName name="SIG_IASCRPV1_firstLine" hidden="1">#REF!</definedName>
    <definedName name="SIG_IASCRPV1_H001" hidden="1">#REF!</definedName>
    <definedName name="SIG_IASCRPV1_H002" hidden="1">#REF!</definedName>
    <definedName name="SIG_IASCRPV1_H003" hidden="1">#REF!</definedName>
    <definedName name="SIG_IASCRPV1_H004" hidden="1">#REF!</definedName>
    <definedName name="SIG_IASCRPV1_H005" hidden="1">#REF!</definedName>
    <definedName name="SIG_IASCRPV1_H006" hidden="1">#REF!</definedName>
    <definedName name="SIG_IASCRPV1_H007" hidden="1">#REF!</definedName>
    <definedName name="SIG_IASCRPV1_H008" hidden="1">#REF!</definedName>
    <definedName name="SIG_IASCRPV1_H009" hidden="1">#REF!</definedName>
    <definedName name="SIG_IASCRPV1_H010" hidden="1">#REF!</definedName>
    <definedName name="SIG_IASCRPV1_H011" hidden="1">#REF!</definedName>
    <definedName name="SIG_IASCRPV1_H012" hidden="1">#REF!</definedName>
    <definedName name="SIG_IASCRPV1_H013" hidden="1">#REF!</definedName>
    <definedName name="SIG_IASCRPV1_IsControlOK" hidden="1">#REF!</definedName>
    <definedName name="SIG_IASCRPV1_lastLine" hidden="1">#REF!</definedName>
    <definedName name="SIG_IASCRPV1_TITLELINE" hidden="1">#REF!</definedName>
    <definedName name="SIG_IASCRPV2_firstLine" hidden="1">#REF!</definedName>
    <definedName name="SIG_IASCRPV2_H001" hidden="1">#REF!</definedName>
    <definedName name="SIG_IASCRPV2_H002" hidden="1">#REF!</definedName>
    <definedName name="SIG_IASCRPV2_H003" hidden="1">#REF!</definedName>
    <definedName name="SIG_IASCRPV2_H004" hidden="1">#REF!</definedName>
    <definedName name="SIG_IASCRPV2_H005" hidden="1">#REF!</definedName>
    <definedName name="SIG_IASCRPV2_H006" hidden="1">#REF!</definedName>
    <definedName name="SIG_IASCRPV2_H007" hidden="1">#REF!</definedName>
    <definedName name="SIG_IASCRPV2_H008" hidden="1">#REF!</definedName>
    <definedName name="SIG_IASCRPV2_H009" hidden="1">#REF!</definedName>
    <definedName name="SIG_IASCRPV2_H010" hidden="1">#REF!</definedName>
    <definedName name="SIG_IASCRPV2_H011" hidden="1">#REF!</definedName>
    <definedName name="SIG_IASCRPV2_H012" hidden="1">#REF!</definedName>
    <definedName name="SIG_IASCRPV2_H013" hidden="1">#REF!</definedName>
    <definedName name="SIG_IASCRPV2_IsControlOK" hidden="1">#REF!</definedName>
    <definedName name="SIG_IASCRPV2_lastLine" hidden="1">#REF!</definedName>
    <definedName name="SIG_IASCRPV2_TITLELINE" hidden="1">#REF!</definedName>
    <definedName name="SIG_IASPV1IG_firstLine" hidden="1">#REF!</definedName>
    <definedName name="SIG_IASPV1IG_H001" hidden="1">#REF!</definedName>
    <definedName name="SIG_IASPV1IG_H002" hidden="1">#REF!</definedName>
    <definedName name="SIG_IASPV1IG_H003" hidden="1">#REF!</definedName>
    <definedName name="SIG_IASPV1IG_H004" hidden="1">#REF!</definedName>
    <definedName name="SIG_IASPV1IG_H005" hidden="1">#REF!</definedName>
    <definedName name="SIG_IASPV1IG_H006" hidden="1">#REF!</definedName>
    <definedName name="SIG_IASPV1IG_H007" hidden="1">#REF!</definedName>
    <definedName name="SIG_IASPV1IG_H008" hidden="1">#REF!</definedName>
    <definedName name="SIG_IASPV1IG_H009" hidden="1">#REF!</definedName>
    <definedName name="SIG_IASPV1IG_H010" hidden="1">#REF!</definedName>
    <definedName name="SIG_IASPV1IG_H011" hidden="1">#REF!</definedName>
    <definedName name="SIG_IASPV1IG_H012" hidden="1">#REF!</definedName>
    <definedName name="SIG_IASPV1IG_H013" hidden="1">#REF!</definedName>
    <definedName name="SIG_IASPV1IG_H014" hidden="1">#REF!</definedName>
    <definedName name="SIG_IASPV1IG_H015" hidden="1">#REF!</definedName>
    <definedName name="SIG_IASPV1IG_H016" hidden="1">#REF!</definedName>
    <definedName name="SIG_IASPV1IG_H017" hidden="1">#REF!</definedName>
    <definedName name="SIG_IASPV1IG_H018" hidden="1">#REF!</definedName>
    <definedName name="SIG_IASPV1IG_H019" hidden="1">#REF!</definedName>
    <definedName name="SIG_IASPV1IG_IsControlOK" hidden="1">#REF!</definedName>
    <definedName name="SIG_IASPV1IG_lastLine" hidden="1">#REF!</definedName>
    <definedName name="SIG_IASPV1IG_TITLELINE" hidden="1">#REF!</definedName>
    <definedName name="SIG_IASPV2IG_firstLine" hidden="1">#REF!</definedName>
    <definedName name="SIG_IASPV2IG_H001" hidden="1">#REF!</definedName>
    <definedName name="SIG_IASPV2IG_H002" hidden="1">#REF!</definedName>
    <definedName name="SIG_IASPV2IG_H003" hidden="1">#REF!</definedName>
    <definedName name="SIG_IASPV2IG_H004" hidden="1">#REF!</definedName>
    <definedName name="SIG_IASPV2IG_H005" hidden="1">#REF!</definedName>
    <definedName name="SIG_IASPV2IG_H006" hidden="1">#REF!</definedName>
    <definedName name="SIG_IASPV2IG_H007" hidden="1">#REF!</definedName>
    <definedName name="SIG_IASPV2IG_H008" hidden="1">#REF!</definedName>
    <definedName name="SIG_IASPV2IG_H009" hidden="1">#REF!</definedName>
    <definedName name="SIG_IASPV2IG_H010" hidden="1">#REF!</definedName>
    <definedName name="SIG_IASPV2IG_H011" hidden="1">#REF!</definedName>
    <definedName name="SIG_IASPV2IG_H012" hidden="1">#REF!</definedName>
    <definedName name="SIG_IASPV2IG_H013" hidden="1">#REF!</definedName>
    <definedName name="SIG_IASPV2IG_H014" hidden="1">#REF!</definedName>
    <definedName name="SIG_IASPV2IG_H015" hidden="1">#REF!</definedName>
    <definedName name="SIG_IASPV2IG_H016" hidden="1">#REF!</definedName>
    <definedName name="SIG_IASPV2IG_H017" hidden="1">#REF!</definedName>
    <definedName name="SIG_IASPV2IG_H018" hidden="1">#REF!</definedName>
    <definedName name="SIG_IASPV2IG_H019" hidden="1">#REF!</definedName>
    <definedName name="SIG_IASPV2IG_IsControlOK" hidden="1">#REF!</definedName>
    <definedName name="SIG_IASPV2IG_lastLine" hidden="1">#REF!</definedName>
    <definedName name="SIG_IASPV2IG_TITLELINE" hidden="1">#REF!</definedName>
    <definedName name="SIG_MES_H002" hidden="1">#REF!</definedName>
    <definedName name="SIG_MES_H003" hidden="1">#REF!</definedName>
    <definedName name="SIG_MES_H004" hidden="1">#REF!</definedName>
    <definedName name="SIG_MES_H005" hidden="1">#REF!</definedName>
    <definedName name="SIG_MES_H006" hidden="1">#REF!</definedName>
    <definedName name="SIG_MES_H007" hidden="1">#REF!</definedName>
    <definedName name="SIG_MES_H008" hidden="1">#REF!</definedName>
    <definedName name="SIG_MES_H009" hidden="1">#REF!</definedName>
    <definedName name="SIG_MES_H010" hidden="1">#REF!</definedName>
    <definedName name="SIG_MES_H011" hidden="1">#REF!</definedName>
    <definedName name="SIG_MES_H012" hidden="1">#REF!</definedName>
    <definedName name="SIG_MES_H013" hidden="1">#REF!</definedName>
    <definedName name="SIG_MES_H015" hidden="1">#REF!</definedName>
    <definedName name="SIG_MES_H016" hidden="1">#REF!</definedName>
    <definedName name="SIG_MES05_H002" hidden="1">#REF!</definedName>
    <definedName name="SIG_MES05_H003" hidden="1">#REF!</definedName>
    <definedName name="SIG_MES05_H004" hidden="1">#REF!</definedName>
    <definedName name="SIG_MES05_H005" hidden="1">#REF!</definedName>
    <definedName name="SIG_MES05_H006" hidden="1">#REF!</definedName>
    <definedName name="SIG_MES05_H007" hidden="1">#REF!</definedName>
    <definedName name="SIG_MES05_H008" hidden="1">#REF!</definedName>
    <definedName name="SIG_MES05_H010" hidden="1">#REF!</definedName>
    <definedName name="SIG_MES05_H011" hidden="1">#REF!</definedName>
    <definedName name="SIG_MES05_H012" hidden="1">#REF!</definedName>
    <definedName name="SIG_MES05_H013" hidden="1">#REF!</definedName>
    <definedName name="SIG_MES05_H014" hidden="1">#REF!</definedName>
    <definedName name="SIG_MES05_H015" hidden="1">#REF!</definedName>
    <definedName name="SIG_MES05_H016" hidden="1">#REF!</definedName>
    <definedName name="SIG_MES06_H002" hidden="1">#REF!</definedName>
    <definedName name="SIG_MES06_H003" hidden="1">#REF!</definedName>
    <definedName name="SIG_MES06_H006" hidden="1">#REF!</definedName>
    <definedName name="SIG_MES06_H007" hidden="1">#REF!</definedName>
    <definedName name="SIG_MES06_H008" hidden="1">#REF!</definedName>
    <definedName name="SIG_MES06_H009" hidden="1">#REF!</definedName>
    <definedName name="SIG_MES06_H010" hidden="1">#REF!</definedName>
    <definedName name="SIG_MES06_H011" hidden="1">#REF!</definedName>
    <definedName name="SIG_MES06_H012" hidden="1">#REF!</definedName>
    <definedName name="SIG_MES06_H013" hidden="1">#REF!</definedName>
    <definedName name="SIG_MES06_H014" hidden="1">#REF!</definedName>
    <definedName name="SIG_MES06_H015" hidden="1">#REF!</definedName>
    <definedName name="SIG_MES06_H016" hidden="1">#REF!</definedName>
    <definedName name="SIG_MES06_H017" hidden="1">#REF!</definedName>
    <definedName name="SIG_MES06_H018" hidden="1">#REF!</definedName>
    <definedName name="SIG_MES06_H019" hidden="1">#REF!</definedName>
    <definedName name="SIG_MES06_H020" hidden="1">#REF!</definedName>
    <definedName name="SIG_MES06_H021" hidden="1">#REF!</definedName>
    <definedName name="SIG_MES06_H022" hidden="1">#REF!</definedName>
    <definedName name="SIG_MES06_H023" hidden="1">#REF!</definedName>
    <definedName name="SIG_MES06_H024" hidden="1">#REF!</definedName>
    <definedName name="SIG_MES06_H025" hidden="1">#REF!</definedName>
    <definedName name="SIG_MES06_H026" hidden="1">#REF!</definedName>
    <definedName name="SIG_MESACT_H001" hidden="1">#REF!</definedName>
    <definedName name="SIG_MESACT_H002" hidden="1">#REF!</definedName>
    <definedName name="SIG_MESACT_H003" hidden="1">#REF!</definedName>
    <definedName name="SIG_MESACT_H004" hidden="1">#REF!</definedName>
    <definedName name="SIG_MESACT_H005" hidden="1">#REF!</definedName>
    <definedName name="SIG_MESACT_H006" hidden="1">#REF!</definedName>
    <definedName name="SIG_MESACT_H008" hidden="1">#REF!</definedName>
    <definedName name="SIG_MESACT_H009" hidden="1">#REF!</definedName>
    <definedName name="SIG_MESACT_H010" hidden="1">#REF!</definedName>
    <definedName name="SIG_MESACT_H011" hidden="1">#REF!</definedName>
    <definedName name="SIG_MESACT_H012" hidden="1">#REF!</definedName>
    <definedName name="SIG_MESACT_H013" hidden="1">#REF!</definedName>
    <definedName name="SIG_PTBD_CCA2106" hidden="1">#REF!</definedName>
    <definedName name="SIG_PTBD_CCA2107" hidden="1">#REF!</definedName>
    <definedName name="SIG_PTBD_CCA2108" hidden="1">#REF!</definedName>
    <definedName name="SIG_PTBD_CCA3010" hidden="1">#REF!</definedName>
    <definedName name="SIG_PTBD_CCCRPV1" hidden="1">#REF!</definedName>
    <definedName name="SIG_PTBD_CCCRPV2" hidden="1">#REF!</definedName>
    <definedName name="SIG_PTBD_CCCRPV3" hidden="1">#REF!</definedName>
    <definedName name="SIG_PTBD_CCCRPV4" hidden="1">#REF!</definedName>
    <definedName name="SIG_PTBD_CCCRPV5" hidden="1">#REF!</definedName>
    <definedName name="SIG_PTBD_CCR1400A" hidden="1">#REF!</definedName>
    <definedName name="SIG_PTBD_CCR1400B" hidden="1">#REF!</definedName>
    <definedName name="SIG_PTBD_CCR1400C" hidden="1">#REF!</definedName>
    <definedName name="SIG_PTBD_CCR1400D" hidden="1">#REF!</definedName>
    <definedName name="SIG_PTBD_CCR1400E" hidden="1">#REF!</definedName>
    <definedName name="SIG_PTBD_CCR1400F" hidden="1">#REF!</definedName>
    <definedName name="SIG_PTBD_CCR1400G" hidden="1">#REF!</definedName>
    <definedName name="SIG_PTBD_CCRA501" hidden="1">#REF!</definedName>
    <definedName name="SIG_PTBD_IASCRPV1" hidden="1">#REF!</definedName>
    <definedName name="SIG_PTBD_IASCRPV2" hidden="1">#REF!</definedName>
    <definedName name="SIG_PTBD_IASPV1IG" hidden="1">#REF!</definedName>
    <definedName name="SIG_PTBD_IASPV2IG" hidden="1">#REF!</definedName>
    <definedName name="SIG_PTBD_PV1IG" hidden="1">#REF!</definedName>
    <definedName name="SIG_PTBD_PV2IG" hidden="1">#REF!</definedName>
    <definedName name="SIG_PTBD_VR4000" hidden="1">#REF!</definedName>
    <definedName name="SIG_PTBD_VRUB" hidden="1">#REF!</definedName>
    <definedName name="SIG_PTHG_CCA2106" hidden="1">#REF!</definedName>
    <definedName name="SIG_PTHG_CCA2107" hidden="1">#REF!</definedName>
    <definedName name="SIG_PTHG_CCA2108" hidden="1">#REF!</definedName>
    <definedName name="SIG_PTHG_CCA3010" hidden="1">#REF!</definedName>
    <definedName name="SIG_PTHG_CCCRPV1" hidden="1">#REF!</definedName>
    <definedName name="SIG_PTHG_CCCRPV2" hidden="1">#REF!</definedName>
    <definedName name="SIG_PTHG_CCCRPV3" hidden="1">#REF!</definedName>
    <definedName name="SIG_PTHG_CCCRPV4" hidden="1">#REF!</definedName>
    <definedName name="SIG_PTHG_CCCRPV5" hidden="1">#REF!</definedName>
    <definedName name="SIG_PTHG_CCR1400A" hidden="1">#REF!</definedName>
    <definedName name="SIG_PTHG_CCR1400B" hidden="1">#REF!</definedName>
    <definedName name="SIG_PTHG_CCR1400C" hidden="1">#REF!</definedName>
    <definedName name="SIG_PTHG_CCR1400D" hidden="1">#REF!</definedName>
    <definedName name="SIG_PTHG_CCR1400E" hidden="1">#REF!</definedName>
    <definedName name="SIG_PTHG_CCR1400F" hidden="1">#REF!</definedName>
    <definedName name="SIG_PTHG_CCR1400G" hidden="1">#REF!</definedName>
    <definedName name="SIG_PTHG_CCRA501" hidden="1">#REF!</definedName>
    <definedName name="SIG_PTHG_IASCRPV1" hidden="1">#REF!</definedName>
    <definedName name="SIG_PTHG_IASCRPV2" hidden="1">#REF!</definedName>
    <definedName name="SIG_PTHG_IASPV1IG" hidden="1">#REF!</definedName>
    <definedName name="SIG_PTHG_IASPV2IG" hidden="1">#REF!</definedName>
    <definedName name="SIG_PTHG_PV1IG" hidden="1">#REF!</definedName>
    <definedName name="SIG_PTHG_PV2IG" hidden="1">#REF!</definedName>
    <definedName name="SIG_PTHG_VR4000" hidden="1">#REF!</definedName>
    <definedName name="SIG_PTHG_VRUB" hidden="1">#REF!</definedName>
    <definedName name="SIG_PV1IG_firstLine" hidden="1">#REF!</definedName>
    <definedName name="SIG_PV1IG_H001" hidden="1">#REF!</definedName>
    <definedName name="SIG_PV1IG_H002" hidden="1">#REF!</definedName>
    <definedName name="SIG_PV1IG_H003" hidden="1">#REF!</definedName>
    <definedName name="SIG_PV1IG_H004" hidden="1">#REF!</definedName>
    <definedName name="SIG_PV1IG_H005" hidden="1">#REF!</definedName>
    <definedName name="SIG_PV1IG_H006" hidden="1">#REF!</definedName>
    <definedName name="SIG_PV1IG_H007" hidden="1">#REF!</definedName>
    <definedName name="SIG_PV1IG_H008" hidden="1">#REF!</definedName>
    <definedName name="SIG_PV1IG_H009" hidden="1">#REF!</definedName>
    <definedName name="SIG_PV1IG_H010" hidden="1">#REF!</definedName>
    <definedName name="SIG_PV1IG_H011" hidden="1">#REF!</definedName>
    <definedName name="SIG_PV1IG_H012" hidden="1">#REF!</definedName>
    <definedName name="SIG_PV1IG_H013" hidden="1">#REF!</definedName>
    <definedName name="SIG_PV1IG_IsControlOK" hidden="1">#REF!</definedName>
    <definedName name="SIG_PV1IG_lastLine" hidden="1">#REF!</definedName>
    <definedName name="SIG_PV1IG_TITLELINE" hidden="1">#REF!</definedName>
    <definedName name="SIG_PV2IG_firstLine" hidden="1">#REF!</definedName>
    <definedName name="SIG_PV2IG_H001" hidden="1">#REF!</definedName>
    <definedName name="SIG_PV2IG_H002" hidden="1">#REF!</definedName>
    <definedName name="SIG_PV2IG_H003" hidden="1">#REF!</definedName>
    <definedName name="SIG_PV2IG_H004" hidden="1">#REF!</definedName>
    <definedName name="SIG_PV2IG_H005" hidden="1">#REF!</definedName>
    <definedName name="SIG_PV2IG_H006" hidden="1">#REF!</definedName>
    <definedName name="SIG_PV2IG_H007" hidden="1">#REF!</definedName>
    <definedName name="SIG_PV2IG_H008" hidden="1">#REF!</definedName>
    <definedName name="SIG_PV2IG_H009" hidden="1">#REF!</definedName>
    <definedName name="SIG_PV2IG_H010" hidden="1">#REF!</definedName>
    <definedName name="SIG_PV2IG_H011" hidden="1">#REF!</definedName>
    <definedName name="SIG_PV2IG_H012" hidden="1">#REF!</definedName>
    <definedName name="SIG_PV2IG_H013" hidden="1">#REF!</definedName>
    <definedName name="SIG_PV2IG_IsControlOK" hidden="1">#REF!</definedName>
    <definedName name="SIG_PV2IG_lastLine" hidden="1">#REF!</definedName>
    <definedName name="SIG_PV2IG_TITLELINE" hidden="1">#REF!</definedName>
    <definedName name="SIG_VR4000_firstLine" hidden="1">#REF!</definedName>
    <definedName name="SIG_VR4000_H001" hidden="1">#REF!</definedName>
    <definedName name="SIG_VR4000_H002" hidden="1">#REF!</definedName>
    <definedName name="SIG_VR4000_H003" hidden="1">#REF!</definedName>
    <definedName name="SIG_VR4000_H004" hidden="1">#REF!</definedName>
    <definedName name="SIG_VR4000_H005" hidden="1">#REF!</definedName>
    <definedName name="SIG_VR4000_H006" hidden="1">#REF!</definedName>
    <definedName name="SIG_VR4000_H007" hidden="1">#REF!</definedName>
    <definedName name="SIG_VR4000_H008" hidden="1">#REF!</definedName>
    <definedName name="SIG_VR4000_H009" hidden="1">#REF!</definedName>
    <definedName name="SIG_VR4000_H010" hidden="1">#REF!</definedName>
    <definedName name="SIG_VR4000_H011" hidden="1">#REF!</definedName>
    <definedName name="SIG_VR4000_H012" hidden="1">#REF!</definedName>
    <definedName name="SIG_VR4000_IsControlOK" hidden="1">#REF!</definedName>
    <definedName name="SIG_VR4000_lastLine" hidden="1">#REF!</definedName>
    <definedName name="SIG_VR4000_TITLELINE" hidden="1">#REF!</definedName>
    <definedName name="SIG_VRUB_firstLine" hidden="1">#REF!</definedName>
    <definedName name="SIG_VRUB_H001" hidden="1">#REF!</definedName>
    <definedName name="SIG_VRUB_H002" hidden="1">#REF!</definedName>
    <definedName name="SIG_VRUB_H003" hidden="1">#REF!</definedName>
    <definedName name="SIG_VRUB_H004" hidden="1">#REF!</definedName>
    <definedName name="SIG_VRUB_H005" hidden="1">#REF!</definedName>
    <definedName name="SIG_VRUB_H006" hidden="1">#REF!</definedName>
    <definedName name="SIG_VRUB_H007" hidden="1">#REF!</definedName>
    <definedName name="SIG_VRUB_H008" hidden="1">#REF!</definedName>
    <definedName name="SIG_VRUB_H009" hidden="1">#REF!</definedName>
    <definedName name="SIG_VRUB_H010" hidden="1">#REF!</definedName>
    <definedName name="SIG_VRUB_H011" hidden="1">#REF!</definedName>
    <definedName name="SIG_VRUB_H012" hidden="1">#REF!</definedName>
    <definedName name="SIG_VRUB_H013" hidden="1">#REF!</definedName>
    <definedName name="SIG_VRUB_H014" hidden="1">#REF!</definedName>
    <definedName name="SIG_VRUB_H015" hidden="1">#REF!</definedName>
    <definedName name="SIG_VRUB_H016" hidden="1">#REF!</definedName>
    <definedName name="SIG_VRUB_H017" hidden="1">#REF!</definedName>
    <definedName name="SIG_VRUB_H018" hidden="1">#REF!</definedName>
    <definedName name="SIG_VRUB_IsControlOK" hidden="1">#REF!</definedName>
    <definedName name="SIG_VRUB_lastLine" hidden="1">#REF!</definedName>
    <definedName name="SIG_VRUB_TITLELINE" hidden="1">#REF!</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definedName>
    <definedName name="sss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ssssssssssssssssssssss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ssssssssssssssssssssss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ock_dic2003"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ock_dic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witzerlan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witzerlan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YNTHESE" localSheetId="1" hidden="1">{#N/A,#N/A,FALSE,"SINTESI GESTIONALE";#N/A,#N/A,FALSE,"all.1 - LAVORO";#N/A,#N/A,FALSE,"all. 2 - SPESE AMM.TIVE";#N/A,#N/A,FALSE," SINTESI CIVILISTICO";#N/A,#N/A,FALSE,"Commerciale"}</definedName>
    <definedName name="SYNTHESE" hidden="1">{#N/A,#N/A,FALSE,"SINTESI GESTIONALE";#N/A,#N/A,FALSE,"all.1 - LAVORO";#N/A,#N/A,FALSE,"all. 2 - SPESE AMM.TIVE";#N/A,#N/A,FALSE," SINTESI CIVILISTICO";#N/A,#N/A,FALSE,"Commerciale"}</definedName>
    <definedName name="TableMonths">Content!$J$1:$J$12</definedName>
    <definedName name="TableYtd">Content!$J$1:$K$12</definedName>
    <definedName name="tava" localSheetId="1" hidden="1">{#N/A,#N/A,FALSE,"SINTESI GESTIONALE";#N/A,#N/A,FALSE,"all.1 - LAVORO";#N/A,#N/A,FALSE,"all. 2 - SPESE AMM.TIVE";#N/A,#N/A,FALSE," SINTESI CIVILISTICO";#N/A,#N/A,FALSE,"Commerciale"}</definedName>
    <definedName name="tava" hidden="1">{#N/A,#N/A,FALSE,"SINTESI GESTIONALE";#N/A,#N/A,FALSE,"all.1 - LAVORO";#N/A,#N/A,FALSE,"all. 2 - SPESE AMM.TIVE";#N/A,#N/A,FALSE," SINTESI CIVILISTICO";#N/A,#N/A,FALSE,"Commerciale"}</definedName>
    <definedName name="TextRefCopyRangeCount" hidden="1">7</definedName>
    <definedName name="trhhy"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rhh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ttttttttttt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ttttttttttt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uuuuuuuuuu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uuuuuuuuuu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 hidden="1">#REF!</definedName>
    <definedName name="vbfr" hidden="1">#REF!</definedName>
    <definedName name="VERZO" localSheetId="1" hidden="1">{#N/A,#N/A,FALSE,"SINTESI GESTIONALE";#N/A,#N/A,FALSE,"all.1 - LAVORO";#N/A,#N/A,FALSE,"all. 2 - SPESE AMM.TIVE";#N/A,#N/A,FALSE," SINTESI CIVILISTICO";#N/A,#N/A,FALSE,"Commerciale"}</definedName>
    <definedName name="VERZO" hidden="1">{#N/A,#N/A,FALSE,"SINTESI GESTIONALE";#N/A,#N/A,FALSE,"all.1 - LAVORO";#N/A,#N/A,FALSE,"all. 2 - SPESE AMM.TIVE";#N/A,#N/A,FALSE," SINTESI CIVILISTICO";#N/A,#N/A,FALSE,"Commerciale"}</definedName>
    <definedName name="Volume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olume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_11a" localSheetId="1" hidden="1">{#N/A,#N/A,FALSE,"Aging Summary";#N/A,#N/A,FALSE,"Ratio Analysis";#N/A,#N/A,FALSE,"Test 120 Day Accts";#N/A,#N/A,FALSE,"Tickmarks"}</definedName>
    <definedName name="w_11a" hidden="1">{#N/A,#N/A,FALSE,"Aging Summary";#N/A,#N/A,FALSE,"Ratio Analysis";#N/A,#N/A,FALSE,"Test 120 Day Accts";#N/A,#N/A,FALSE,"Tickmarks"}</definedName>
    <definedName name="w_12a" localSheetId="1" hidden="1">{#N/A,#N/A,FALSE,"Aging Summary";#N/A,#N/A,FALSE,"Ratio Analysis";#N/A,#N/A,FALSE,"Test 120 Day Accts";#N/A,#N/A,FALSE,"Tickmarks"}</definedName>
    <definedName name="w_12a" hidden="1">{#N/A,#N/A,FALSE,"Aging Summary";#N/A,#N/A,FALSE,"Ratio Analysis";#N/A,#N/A,FALSE,"Test 120 Day Accts";#N/A,#N/A,FALSE,"Tickmarks"}</definedName>
    <definedName name="w_12a_2" localSheetId="1" hidden="1">{#N/A,#N/A,FALSE,"Aging Summary";#N/A,#N/A,FALSE,"Ratio Analysis";#N/A,#N/A,FALSE,"Test 120 Day Accts";#N/A,#N/A,FALSE,"Tickmarks"}</definedName>
    <definedName name="w_12a_2" hidden="1">{#N/A,#N/A,FALSE,"Aging Summary";#N/A,#N/A,FALSE,"Ratio Analysis";#N/A,#N/A,FALSE,"Test 120 Day Accts";#N/A,#N/A,FALSE,"Tickmarks"}</definedName>
    <definedName name="w_12p" localSheetId="1" hidden="1">{#N/A,#N/A,FALSE,"Aging Summary";#N/A,#N/A,FALSE,"Ratio Analysis";#N/A,#N/A,FALSE,"Test 120 Day Accts";#N/A,#N/A,FALSE,"Tickmarks"}</definedName>
    <definedName name="w_12p" hidden="1">{#N/A,#N/A,FALSE,"Aging Summary";#N/A,#N/A,FALSE,"Ratio Analysis";#N/A,#N/A,FALSE,"Test 120 Day Accts";#N/A,#N/A,FALSE,"Tickmarks"}</definedName>
    <definedName name="w_16a" localSheetId="1" hidden="1">{#N/A,#N/A,FALSE,"Aging Summary";#N/A,#N/A,FALSE,"Ratio Analysis";#N/A,#N/A,FALSE,"Test 120 Day Accts";#N/A,#N/A,FALSE,"Tickmarks"}</definedName>
    <definedName name="w_16a" hidden="1">{#N/A,#N/A,FALSE,"Aging Summary";#N/A,#N/A,FALSE,"Ratio Analysis";#N/A,#N/A,FALSE,"Test 120 Day Accts";#N/A,#N/A,FALSE,"Tickmarks"}</definedName>
    <definedName name="w_17p" localSheetId="1" hidden="1">{#N/A,#N/A,FALSE,"Aging Summary";#N/A,#N/A,FALSE,"Ratio Analysis";#N/A,#N/A,FALSE,"Test 120 Day Accts";#N/A,#N/A,FALSE,"Tickmarks"}</definedName>
    <definedName name="w_17p" hidden="1">{#N/A,#N/A,FALSE,"Aging Summary";#N/A,#N/A,FALSE,"Ratio Analysis";#N/A,#N/A,FALSE,"Test 120 Day Accts";#N/A,#N/A,FALSE,"Tickmarks"}</definedName>
    <definedName name="w_18a" localSheetId="1" hidden="1">{#N/A,#N/A,FALSE,"Aging Summary";#N/A,#N/A,FALSE,"Ratio Analysis";#N/A,#N/A,FALSE,"Test 120 Day Accts";#N/A,#N/A,FALSE,"Tickmarks"}</definedName>
    <definedName name="w_18a" hidden="1">{#N/A,#N/A,FALSE,"Aging Summary";#N/A,#N/A,FALSE,"Ratio Analysis";#N/A,#N/A,FALSE,"Test 120 Day Accts";#N/A,#N/A,FALSE,"Tickmarks"}</definedName>
    <definedName name="w_19a" localSheetId="1" hidden="1">{#N/A,#N/A,FALSE,"Aging Summary";#N/A,#N/A,FALSE,"Ratio Analysis";#N/A,#N/A,FALSE,"Test 120 Day Accts";#N/A,#N/A,FALSE,"Tickmarks"}</definedName>
    <definedName name="w_19a" hidden="1">{#N/A,#N/A,FALSE,"Aging Summary";#N/A,#N/A,FALSE,"Ratio Analysis";#N/A,#N/A,FALSE,"Test 120 Day Accts";#N/A,#N/A,FALSE,"Tickmarks"}</definedName>
    <definedName name="w_19a_1" localSheetId="1" hidden="1">{#N/A,#N/A,FALSE,"Aging Summary";#N/A,#N/A,FALSE,"Ratio Analysis";#N/A,#N/A,FALSE,"Test 120 Day Accts";#N/A,#N/A,FALSE,"Tickmarks"}</definedName>
    <definedName name="w_19a_1" hidden="1">{#N/A,#N/A,FALSE,"Aging Summary";#N/A,#N/A,FALSE,"Ratio Analysis";#N/A,#N/A,FALSE,"Test 120 Day Accts";#N/A,#N/A,FALSE,"Tickmarks"}</definedName>
    <definedName name="w_21a" localSheetId="1" hidden="1">{#N/A,#N/A,FALSE,"Aging Summary";#N/A,#N/A,FALSE,"Ratio Analysis";#N/A,#N/A,FALSE,"Test 120 Day Accts";#N/A,#N/A,FALSE,"Tickmarks"}</definedName>
    <definedName name="w_21a" hidden="1">{#N/A,#N/A,FALSE,"Aging Summary";#N/A,#N/A,FALSE,"Ratio Analysis";#N/A,#N/A,FALSE,"Test 120 Day Accts";#N/A,#N/A,FALSE,"Tickmarks"}</definedName>
    <definedName name="w_29a" localSheetId="1" hidden="1">{#N/A,#N/A,FALSE,"Aging Summary";#N/A,#N/A,FALSE,"Ratio Analysis";#N/A,#N/A,FALSE,"Test 120 Day Accts";#N/A,#N/A,FALSE,"Tickmarks"}</definedName>
    <definedName name="w_29a" hidden="1">{#N/A,#N/A,FALSE,"Aging Summary";#N/A,#N/A,FALSE,"Ratio Analysis";#N/A,#N/A,FALSE,"Test 120 Day Accts";#N/A,#N/A,FALSE,"Tickmarks"}</definedName>
    <definedName name="w_2a" localSheetId="1" hidden="1">{#N/A,#N/A,FALSE,"Aging Summary";#N/A,#N/A,FALSE,"Ratio Analysis";#N/A,#N/A,FALSE,"Test 120 Day Accts";#N/A,#N/A,FALSE,"Tickmarks"}</definedName>
    <definedName name="w_2a" hidden="1">{#N/A,#N/A,FALSE,"Aging Summary";#N/A,#N/A,FALSE,"Ratio Analysis";#N/A,#N/A,FALSE,"Test 120 Day Accts";#N/A,#N/A,FALSE,"Tickmarks"}</definedName>
    <definedName name="w_2a1" localSheetId="1" hidden="1">{#N/A,#N/A,FALSE,"Aging Summary";#N/A,#N/A,FALSE,"Ratio Analysis";#N/A,#N/A,FALSE,"Test 120 Day Accts";#N/A,#N/A,FALSE,"Tickmarks"}</definedName>
    <definedName name="w_2a1" hidden="1">{#N/A,#N/A,FALSE,"Aging Summary";#N/A,#N/A,FALSE,"Ratio Analysis";#N/A,#N/A,FALSE,"Test 120 Day Accts";#N/A,#N/A,FALSE,"Tickmarks"}</definedName>
    <definedName name="w_32p" localSheetId="1" hidden="1">{#N/A,#N/A,FALSE,"Aging Summary";#N/A,#N/A,FALSE,"Ratio Analysis";#N/A,#N/A,FALSE,"Test 120 Day Accts";#N/A,#N/A,FALSE,"Tickmarks"}</definedName>
    <definedName name="w_32p" hidden="1">{#N/A,#N/A,FALSE,"Aging Summary";#N/A,#N/A,FALSE,"Ratio Analysis";#N/A,#N/A,FALSE,"Test 120 Day Accts";#N/A,#N/A,FALSE,"Tickmarks"}</definedName>
    <definedName name="w_33a" localSheetId="1" hidden="1">{#N/A,#N/A,FALSE,"Aging Summary";#N/A,#N/A,FALSE,"Ratio Analysis";#N/A,#N/A,FALSE,"Test 120 Day Accts";#N/A,#N/A,FALSE,"Tickmarks"}</definedName>
    <definedName name="w_33a" hidden="1">{#N/A,#N/A,FALSE,"Aging Summary";#N/A,#N/A,FALSE,"Ratio Analysis";#N/A,#N/A,FALSE,"Test 120 Day Accts";#N/A,#N/A,FALSE,"Tickmarks"}</definedName>
    <definedName name="w_4a1" localSheetId="1" hidden="1">{#N/A,#N/A,FALSE,"Aging Summary";#N/A,#N/A,FALSE,"Ratio Analysis";#N/A,#N/A,FALSE,"Test 120 Day Accts";#N/A,#N/A,FALSE,"Tickmarks"}</definedName>
    <definedName name="w_4a1" hidden="1">{#N/A,#N/A,FALSE,"Aging Summary";#N/A,#N/A,FALSE,"Ratio Analysis";#N/A,#N/A,FALSE,"Test 120 Day Accts";#N/A,#N/A,FALSE,"Tickmarks"}</definedName>
    <definedName name="w_7pA" localSheetId="1" hidden="1">{#N/A,#N/A,FALSE,"Aging Summary";#N/A,#N/A,FALSE,"Ratio Analysis";#N/A,#N/A,FALSE,"Test 120 Day Accts";#N/A,#N/A,FALSE,"Tickmarks"}</definedName>
    <definedName name="w_7pA" hidden="1">{#N/A,#N/A,FALSE,"Aging Summary";#N/A,#N/A,FALSE,"Ratio Analysis";#N/A,#N/A,FALSE,"Test 120 Day Accts";#N/A,#N/A,FALSE,"Tickmarks"}</definedName>
    <definedName name="w_ammeded" localSheetId="1" hidden="1">{#N/A,#N/A,FALSE,"Aging Summary";#N/A,#N/A,FALSE,"Ratio Analysis";#N/A,#N/A,FALSE,"Test 120 Day Accts";#N/A,#N/A,FALSE,"Tickmarks"}</definedName>
    <definedName name="w_ammeded" hidden="1">{#N/A,#N/A,FALSE,"Aging Summary";#N/A,#N/A,FALSE,"Ratio Analysis";#N/A,#N/A,FALSE,"Test 120 Day Accts";#N/A,#N/A,FALSE,"Tickmarks"}</definedName>
    <definedName name="wgw" localSheetId="1" hidden="1">{#N/A,#N/A,FALSE,"SINTESI GESTIONALE";#N/A,#N/A,FALSE,"all.1 - LAVORO";#N/A,#N/A,FALSE,"all. 2 - SPESE AMM.TIVE";#N/A,#N/A,FALSE," SINTESI CIVILISTICO";#N/A,#N/A,FALSE,"Commerciale"}</definedName>
    <definedName name="wgw" hidden="1">{#N/A,#N/A,FALSE,"SINTESI GESTIONALE";#N/A,#N/A,FALSE,"all.1 - LAVORO";#N/A,#N/A,FALSE,"all. 2 - SPESE AMM.TIVE";#N/A,#N/A,FALSE," SINTESI CIVILISTICO";#N/A,#N/A,FALSE,"Commerciale"}</definedName>
    <definedName name="wn_10a" localSheetId="1" hidden="1">{#N/A,#N/A,FALSE,"Aging Summary";#N/A,#N/A,FALSE,"Ratio Analysis";#N/A,#N/A,FALSE,"Test 120 Day Accts";#N/A,#N/A,FALSE,"Tickmarks"}</definedName>
    <definedName name="wn_10a" hidden="1">{#N/A,#N/A,FALSE,"Aging Summary";#N/A,#N/A,FALSE,"Ratio Analysis";#N/A,#N/A,FALSE,"Test 120 Day Accts";#N/A,#N/A,FALSE,"Tickmarks"}</definedName>
    <definedName name="wor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o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1995._.FORECAST." localSheetId="1" hidden="1">{#N/A,#N/A,FALSE,"AUM_ROLLFORWARD";#N/A,#N/A,FALSE,"QTR_P&amp;L";#N/A,#N/A,FALSE,"p&amp;l_dtl";#N/A,#N/A,FALSE,"VAR_PG";#N/A,#N/A,FALSE,"RETURNS";#N/A,#N/A,FALSE,"PERFORMANCE";#N/A,#N/A,FALSE,"REIMBURSEMENT";#N/A,#N/A,FALSE,"HEADCOUNT";#N/A,#N/A,FALSE,"FORECAST PERF"}</definedName>
    <definedName name="wrn.1995._.FORECAST." hidden="1">{#N/A,#N/A,FALSE,"AUM_ROLLFORWARD";#N/A,#N/A,FALSE,"QTR_P&amp;L";#N/A,#N/A,FALSE,"p&amp;l_dtl";#N/A,#N/A,FALSE,"VAR_PG";#N/A,#N/A,FALSE,"RETURNS";#N/A,#N/A,FALSE,"PERFORMANCE";#N/A,#N/A,FALSE,"REIMBURSEMENT";#N/A,#N/A,FALSE,"HEADCOUNT";#N/A,#N/A,FALSE,"FORECAST PERF"}</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1"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ll." localSheetId="1"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NALISI._.DEGLI._.SCOSTAMENTI." localSheetId="1" hidden="1">{"CONTO ECONOMICO (Analisi scostamenti)",#N/A,FALSE,"Analisi scostamenti";"STATO PATRIMONIALE (Analisi scostamenti)",#N/A,FALSE,"Analisi scostamenti";"TASSI EFFETTIVI (Analisi scostamenti)",#N/A,FALSE,"Analisi scostamenti"}</definedName>
    <definedName name="wrn.ANALISI._.DEGLI._.SCOSTAMENTI." hidden="1">{"CONTO ECONOMICO (Analisi scostamenti)",#N/A,FALSE,"Analisi scostamenti";"STATO PATRIMONIALE (Analisi scostamenti)",#N/A,FALSE,"Analisi scostamenti";"TASSI EFFETTIVI (Analisi scostamenti)",#N/A,FALSE,"Analisi scostamenti"}</definedName>
    <definedName name="wrn.ATm." localSheetId="1"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Back._.Page." localSheetId="1" hidden="1">{"Back Page",#N/A,FALSE,"Front and Back"}</definedName>
    <definedName name="wrn.Back._.Page." hidden="1">{"Back Page",#N/A,FALSE,"Front and Back"}</definedName>
    <definedName name="wrn.Chart._.2." localSheetId="1" hidden="1">{#N/A,#N/A,FALSE,"Int'l "}</definedName>
    <definedName name="wrn.Chart._.2." hidden="1">{#N/A,#N/A,FALSE,"Int'l "}</definedName>
    <definedName name="wrn.Compare._.Social._.Conso1." localSheetId="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nto._.economico." localSheetId="1" hidden="1">{#N/A,#N/A,TRUE,"CONTO ECONOMICO";#N/A,#N/A,TRUE,"1";#N/A,#N/A,TRUE,"2";#N/A,#N/A,TRUE,"3";#N/A,#N/A,TRUE,"4";#N/A,#N/A,TRUE,"5";#N/A,#N/A,TRUE,"6";#N/A,#N/A,TRUE,"7"}</definedName>
    <definedName name="wrn.conto._.economico." hidden="1">{#N/A,#N/A,TRUE,"CONTO ECONOMICO";#N/A,#N/A,TRUE,"1";#N/A,#N/A,TRUE,"2";#N/A,#N/A,TRUE,"3";#N/A,#N/A,TRUE,"4";#N/A,#N/A,TRUE,"5";#N/A,#N/A,TRUE,"6";#N/A,#N/A,TRUE,"7"}</definedName>
    <definedName name="wrn.Detailed._.P._.and._.L." localSheetId="1" hidden="1">{"P and L Detail Page 1",#N/A,FALSE,"Data";"P and L Detail Page 2",#N/A,FALSE,"Data"}</definedName>
    <definedName name="wrn.Detailed._.P._.and._.L." hidden="1">{"P and L Detail Page 1",#N/A,FALSE,"Data";"P and L Detail Page 2",#N/A,FALSE,"Data"}</definedName>
    <definedName name="wrn.Financial._.Output." localSheetId="1"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1" hidden="1">{"Five Year Record",#N/A,FALSE,"Front and Back"}</definedName>
    <definedName name="wrn.Five._.Year._.Record." hidden="1">{"Five Year Record",#N/A,FALSE,"Front and Back"}</definedName>
    <definedName name="wrn.Front._.Page." localSheetId="1" hidden="1">{"Front Page",#N/A,FALSE,"Front and Back"}</definedName>
    <definedName name="wrn.Front._.Page." hidden="1">{"Front Page",#N/A,FALSE,"Front and Back"}</definedName>
    <definedName name="wrn.Geographic._.Trends." localSheetId="1" hidden="1">{"Geographic P1",#N/A,FALSE,"Division &amp; Geog"}</definedName>
    <definedName name="wrn.Geographic._.Trends." hidden="1">{"Geographic P1",#N/A,FALSE,"Division &amp; Geog"}</definedName>
    <definedName name="wrn.ipotesi._.n.1." localSheetId="1" hidden="1">{"Input manuale",#N/A,FALSE,"ipotesi n.1"}</definedName>
    <definedName name="wrn.ipotesi._.n.1." hidden="1">{"Input manuale",#N/A,FALSE,"ipotesi n.1"}</definedName>
    <definedName name="wrn.kozik." localSheetId="1" hidden="1">{#N/A,#N/A,TRUE,"struct";#N/A,#N/A,TRUE,"R1002";#N/A,#N/A,TRUE,"R1002_A";#N/A,#N/A,TRUE,"(p.3)";#N/A,#N/A,TRUE,"R1001";#N/A,#N/A,TRUE,"R1001_A";#N/A,#N/A,TRUE,"R1300";#N/A,#N/A,TRUE,"R1310";#N/A,#N/A,TRUE,"1.3.2.0";#N/A,#N/A,TRUE,"corp1";#N/A,#N/A,TRUE,"corp2";#N/A,#N/A,TRUE,"corp3";#N/A,#N/A,TRUE,"R  (p.24) ";#N/A,#N/A,TRUE,"R    (p.25)";#N/A,#N/A,TRUE,"foreignKPI";#N/A,#N/A,TRUE,"Invest";#N/A,#N/A,TRUE,"Invest2";#N/A,#N/A,TRUE,"Invest3";#N/A,#N/A,TRUE,"HR";#N/A,#N/A,TRUE,"R1002 (2)";#N/A,#N/A,TRUE,"Arkusz4";#N/A,#N/A,TRUE,"Arkusz4 (2)";#N/A,#N/A,TRUE,"Tabela 5";#N/A,#N/A,TRUE,"Tabela 5 (2)";#N/A,#N/A,TRUE,"PLREG";#N/A,#N/A,TRUE,"R1340";#N/A,#N/A,TRUE,"R1360";#N/A,#N/A,TRUE,"retail";#N/A,#N/A,TRUE,"Foglio1";#N/A,#N/A,TRUE,"Foglio2";#N/A,#N/A,TRUE,"retail7.1 (2)";#N/A,#N/A,TRUE,"Retail7.2 (2)";#N/A,#N/A,TRUE,"Foglio3";#N/A,#N/A,TRUE,"PLREG (2)";#N/A,#N/A,TRUE,"corp4";#N/A,#N/A,TRUE,"corp5";#N/A,#N/A,TRUE,"corp5bis";#N/A,#N/A,TRUE,"corp6";#N/A,#N/A,TRUE,"corp7";#N/A,#N/A,TRUE,"corp7.1";#N/A,#N/A,TRUE,"Corp7.2";#N/A,#N/A,TRUE,"corp8"}</definedName>
    <definedName name="wrn.kozik." hidden="1">{#N/A,#N/A,TRUE,"struct";#N/A,#N/A,TRUE,"R1002";#N/A,#N/A,TRUE,"R1002_A";#N/A,#N/A,TRUE,"(p.3)";#N/A,#N/A,TRUE,"R1001";#N/A,#N/A,TRUE,"R1001_A";#N/A,#N/A,TRUE,"R1300";#N/A,#N/A,TRUE,"R1310";#N/A,#N/A,TRUE,"1.3.2.0";#N/A,#N/A,TRUE,"corp1";#N/A,#N/A,TRUE,"corp2";#N/A,#N/A,TRUE,"corp3";#N/A,#N/A,TRUE,"R  (p.24) ";#N/A,#N/A,TRUE,"R    (p.25)";#N/A,#N/A,TRUE,"foreignKPI";#N/A,#N/A,TRUE,"Invest";#N/A,#N/A,TRUE,"Invest2";#N/A,#N/A,TRUE,"Invest3";#N/A,#N/A,TRUE,"HR";#N/A,#N/A,TRUE,"R1002 (2)";#N/A,#N/A,TRUE,"Arkusz4";#N/A,#N/A,TRUE,"Arkusz4 (2)";#N/A,#N/A,TRUE,"Tabela 5";#N/A,#N/A,TRUE,"Tabela 5 (2)";#N/A,#N/A,TRUE,"PLREG";#N/A,#N/A,TRUE,"R1340";#N/A,#N/A,TRUE,"R1360";#N/A,#N/A,TRUE,"retail";#N/A,#N/A,TRUE,"Foglio1";#N/A,#N/A,TRUE,"Foglio2";#N/A,#N/A,TRUE,"retail7.1 (2)";#N/A,#N/A,TRUE,"Retail7.2 (2)";#N/A,#N/A,TRUE,"Foglio3";#N/A,#N/A,TRUE,"PLREG (2)";#N/A,#N/A,TRUE,"corp4";#N/A,#N/A,TRUE,"corp5";#N/A,#N/A,TRUE,"corp5bis";#N/A,#N/A,TRUE,"corp6";#N/A,#N/A,TRUE,"corp7";#N/A,#N/A,TRUE,"corp7.1";#N/A,#N/A,TRUE,"Corp7.2";#N/A,#N/A,TRUE,"corp8"}</definedName>
    <definedName name="wrn.obiett99." localSheetId="1" hidden="1">{#N/A,#N/A,FALSE,"SINTESI GESTIONALE";#N/A,#N/A,FALSE,"all.1 - LAVORO";#N/A,#N/A,FALSE,"all. 2 - SPESE AMM.TIVE";#N/A,#N/A,FALSE," SINTESI CIVILISTICO";#N/A,#N/A,FALSE,"Commerciale"}</definedName>
    <definedName name="wrn.obiett99." hidden="1">{#N/A,#N/A,FALSE,"SINTESI GESTIONALE";#N/A,#N/A,FALSE,"all.1 - LAVORO";#N/A,#N/A,FALSE,"all. 2 - SPESE AMM.TIVE";#N/A,#N/A,FALSE," SINTESI CIVILISTICO";#N/A,#N/A,FALSE,"Commerciale"}</definedName>
    <definedName name="wrn.PFD._.REPORT." localSheetId="1" hidden="1">{#N/A,#N/A,FALSE,"SALES_EX";#N/A,#N/A,FALSE,"QTR_P&amp;L";#N/A,#N/A,FALSE,"p&amp;l_dtl";#N/A,#N/A,FALSE,"VAR_PG";#N/A,#N/A,FALSE,"SALES";#N/A,#N/A,FALSE,"YTD SALES ANALYSIS";#N/A,#N/A,FALSE,"SALES_EX";#N/A,#N/A,FALSE,"RPV EXPENSE ANALYSIS";#N/A,#N/A,FALSE,"RVP_SALES";#N/A,#N/A,FALSE,"HEADCOUNT"}</definedName>
    <definedName name="wrn.PFD._.REPORT." hidden="1">{#N/A,#N/A,FALSE,"SALES_EX";#N/A,#N/A,FALSE,"QTR_P&amp;L";#N/A,#N/A,FALSE,"p&amp;l_dtl";#N/A,#N/A,FALSE,"VAR_PG";#N/A,#N/A,FALSE,"SALES";#N/A,#N/A,FALSE,"YTD SALES ANALYSIS";#N/A,#N/A,FALSE,"SALES_EX";#N/A,#N/A,FALSE,"RPV EXPENSE ANALYSIS";#N/A,#N/A,FALSE,"RVP_SALES";#N/A,#N/A,FALSE,"HEADCOUNT"}</definedName>
    <definedName name="wrn.PFD_OPS." localSheetId="1" hidden="1">{#N/A,#N/A,TRUE,"Con I_S";#N/A,#N/A,TRUE,"Non_Controllable";#N/A,#N/A,TRUE,"MKT ADMIN 8100";#N/A,#N/A,TRUE,"MKT RSCH 8110";#N/A,#N/A,TRUE,"Ret Plans 8120";#N/A,#N/A,TRUE,"Comm 8130 ";#N/A,#N/A,TRUE,"PROD 8140";#N/A,#N/A,TRUE,"Ad &amp; PR 8150  ";#N/A,#N/A,TRUE,"SH Serv. 8160";#N/A,#N/A,TRUE,"Int Liason 8170";#N/A,#N/A,TRUE,"Var Ann 8180";#N/A,#N/A,TRUE,"S_Admin 8010";#N/A,#N/A,TRUE,"S_DS_Admin 8201";#N/A,#N/A,TRUE,"S_Lit &amp; Hist 8202";#N/A,#N/A,TRUE,"S_Systems 8204";#N/A,#N/A,TRUE,"S_Dlr Prcing 8208";#N/A,#N/A,TRUE,"S_Mkt Admin 8700";#N/A,#N/A,TRUE,"S_Reg Spt 8710";#N/A,#N/A,TRUE,"S_Bank Reg Spt 8806"}</definedName>
    <definedName name="wrn.PFD_OPS." hidden="1">{#N/A,#N/A,TRUE,"Con I_S";#N/A,#N/A,TRUE,"Non_Controllable";#N/A,#N/A,TRUE,"MKT ADMIN 8100";#N/A,#N/A,TRUE,"MKT RSCH 8110";#N/A,#N/A,TRUE,"Ret Plans 8120";#N/A,#N/A,TRUE,"Comm 8130 ";#N/A,#N/A,TRUE,"PROD 8140";#N/A,#N/A,TRUE,"Ad &amp; PR 8150  ";#N/A,#N/A,TRUE,"SH Serv. 8160";#N/A,#N/A,TRUE,"Int Liason 8170";#N/A,#N/A,TRUE,"Var Ann 8180";#N/A,#N/A,TRUE,"S_Admin 8010";#N/A,#N/A,TRUE,"S_DS_Admin 8201";#N/A,#N/A,TRUE,"S_Lit &amp; Hist 8202";#N/A,#N/A,TRUE,"S_Systems 8204";#N/A,#N/A,TRUE,"S_Dlr Prcing 8208";#N/A,#N/A,TRUE,"S_Mkt Admin 8700";#N/A,#N/A,TRUE,"S_Reg Spt 8710";#N/A,#N/A,TRUE,"S_Bank Reg Spt 8806"}</definedName>
    <definedName name="wrn.PrintAll." localSheetId="1" hidden="1">{#N/A,#N/A,TRUE,"Overview";#N/A,#N/A,TRUE,"Divisonal";#N/A,#N/A,TRUE,"SoP";#N/A,#N/A,TRUE,"Earnings Sum";"BreakUpSumPrint",#N/A,TRUE,"BreakUp";"BreakUpPrint",#N/A,TRUE,"BreakUp";"DeutschePrint",#N/A,TRUE,"Deutsche"}</definedName>
    <definedName name="wrn.PrintAll." hidden="1">{#N/A,#N/A,TRUE,"Overview";#N/A,#N/A,TRUE,"Divisonal";#N/A,#N/A,TRUE,"SoP";#N/A,#N/A,TRUE,"Earnings Sum";"BreakUpSumPrint",#N/A,TRUE,"BreakUp";"BreakUpPrint",#N/A,TRUE,"BreakUp";"DeutschePrint",#N/A,TRUE,"Deutsche"}</definedName>
    <definedName name="wrn.PrintAll._1" localSheetId="1" hidden="1">{#N/A,#N/A,TRUE,"Overview";#N/A,#N/A,TRUE,"Divisonal";#N/A,#N/A,TRUE,"SoP";#N/A,#N/A,TRUE,"Earnings Sum";"BreakUpSumPrint",#N/A,TRUE,"BreakUp";"BreakUpPrint",#N/A,TRUE,"BreakUp";"DeutschePrint",#N/A,TRUE,"Deutsche"}</definedName>
    <definedName name="wrn.PrintAll._1" hidden="1">{#N/A,#N/A,TRUE,"Overview";#N/A,#N/A,TRUE,"Divisonal";#N/A,#N/A,TRUE,"SoP";#N/A,#N/A,TRUE,"Earnings Sum";"BreakUpSumPrint",#N/A,TRUE,"BreakUp";"BreakUpPrint",#N/A,TRUE,"BreakUp";"DeutschePrint",#N/A,TRUE,"Deutsche"}</definedName>
    <definedName name="wrn.rapor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SIMULAZIONE." localSheetId="1" hidden="1">{"ATTIVO",#N/A,FALSE,"SIMULAZIONE";"PASSIVO",#N/A,FALSE,"SIMULAZIONE";"TASSI",#N/A,FALSE,"SIMULAZIONE";"RICAVI",#N/A,FALSE,"SIMULAZIONE";"COSTI",#N/A,FALSE,"SIMULAZIONE"}</definedName>
    <definedName name="wrn.SIMULAZIONE." hidden="1">{"ATTIVO",#N/A,FALSE,"SIMULAZIONE";"PASSIVO",#N/A,FALSE,"SIMULAZIONE";"TASSI",#N/A,FALSE,"SIMULAZIONE";"RICAVI",#N/A,FALSE,"SIMULAZIONE";"COSTI",#N/A,FALSE,"SIMULAZIONE"}</definedName>
    <definedName name="wrn.ZFS._.print." localSheetId="1"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_1" localSheetId="1" hidden="1">{#N/A,#N/A,FALSE,"Aging Summary";#N/A,#N/A,FALSE,"Ratio Analysis";#N/A,#N/A,FALSE,"Test 120 Day Accts";#N/A,#N/A,FALSE,"Tickmarks"}</definedName>
    <definedName name="wrn_1" hidden="1">{#N/A,#N/A,FALSE,"Aging Summary";#N/A,#N/A,FALSE,"Ratio Analysis";#N/A,#N/A,FALSE,"Test 120 Day Accts";#N/A,#N/A,FALSE,"Tickmarks"}</definedName>
    <definedName name="wrn_10_a2" localSheetId="1" hidden="1">{#N/A,#N/A,FALSE,"Aging Summary";#N/A,#N/A,FALSE,"Ratio Analysis";#N/A,#N/A,FALSE,"Test 120 Day Accts";#N/A,#N/A,FALSE,"Tickmarks"}</definedName>
    <definedName name="wrn_10_a2" hidden="1">{#N/A,#N/A,FALSE,"Aging Summary";#N/A,#N/A,FALSE,"Ratio Analysis";#N/A,#N/A,FALSE,"Test 120 Day Accts";#N/A,#N/A,FALSE,"Tickmarks"}</definedName>
    <definedName name="wrn_10a_2" localSheetId="1" hidden="1">{#N/A,#N/A,FALSE,"Aging Summary";#N/A,#N/A,FALSE,"Ratio Analysis";#N/A,#N/A,FALSE,"Test 120 Day Accts";#N/A,#N/A,FALSE,"Tickmarks"}</definedName>
    <definedName name="wrn_10a_2" hidden="1">{#N/A,#N/A,FALSE,"Aging Summary";#N/A,#N/A,FALSE,"Ratio Analysis";#N/A,#N/A,FALSE,"Test 120 Day Accts";#N/A,#N/A,FALSE,"Tickmarks"}</definedName>
    <definedName name="wrn_10a1" localSheetId="1" hidden="1">{#N/A,#N/A,FALSE,"Aging Summary";#N/A,#N/A,FALSE,"Ratio Analysis";#N/A,#N/A,FALSE,"Test 120 Day Accts";#N/A,#N/A,FALSE,"Tickmarks"}</definedName>
    <definedName name="wrn_10a1" hidden="1">{#N/A,#N/A,FALSE,"Aging Summary";#N/A,#N/A,FALSE,"Ratio Analysis";#N/A,#N/A,FALSE,"Test 120 Day Accts";#N/A,#N/A,FALSE,"Tickmarks"}</definedName>
    <definedName name="wrn_11" localSheetId="1" hidden="1">{#N/A,#N/A,FALSE,"Aging Summary";#N/A,#N/A,FALSE,"Ratio Analysis";#N/A,#N/A,FALSE,"Test 120 Day Accts";#N/A,#N/A,FALSE,"Tickmarks"}</definedName>
    <definedName name="wrn_11" hidden="1">{#N/A,#N/A,FALSE,"Aging Summary";#N/A,#N/A,FALSE,"Ratio Analysis";#N/A,#N/A,FALSE,"Test 120 Day Accts";#N/A,#N/A,FALSE,"Tickmarks"}</definedName>
    <definedName name="wrn_12" localSheetId="1" hidden="1">{#N/A,#N/A,FALSE,"Aging Summary";#N/A,#N/A,FALSE,"Ratio Analysis";#N/A,#N/A,FALSE,"Test 120 Day Accts";#N/A,#N/A,FALSE,"Tickmarks"}</definedName>
    <definedName name="wrn_12" hidden="1">{#N/A,#N/A,FALSE,"Aging Summary";#N/A,#N/A,FALSE,"Ratio Analysis";#N/A,#N/A,FALSE,"Test 120 Day Accts";#N/A,#N/A,FALSE,"Tickmarks"}</definedName>
    <definedName name="wrn_12p" localSheetId="1" hidden="1">{#N/A,#N/A,FALSE,"Aging Summary";#N/A,#N/A,FALSE,"Ratio Analysis";#N/A,#N/A,FALSE,"Test 120 Day Accts";#N/A,#N/A,FALSE,"Tickmarks"}</definedName>
    <definedName name="wrn_12p" hidden="1">{#N/A,#N/A,FALSE,"Aging Summary";#N/A,#N/A,FALSE,"Ratio Analysis";#N/A,#N/A,FALSE,"Test 120 Day Accts";#N/A,#N/A,FALSE,"Tickmarks"}</definedName>
    <definedName name="wrn_16p" localSheetId="1" hidden="1">{#N/A,#N/A,FALSE,"Aging Summary";#N/A,#N/A,FALSE,"Ratio Analysis";#N/A,#N/A,FALSE,"Test 120 Day Accts";#N/A,#N/A,FALSE,"Tickmarks"}</definedName>
    <definedName name="wrn_16p" hidden="1">{#N/A,#N/A,FALSE,"Aging Summary";#N/A,#N/A,FALSE,"Ratio Analysis";#N/A,#N/A,FALSE,"Test 120 Day Accts";#N/A,#N/A,FALSE,"Tickmarks"}</definedName>
    <definedName name="wrn_1A" localSheetId="1" hidden="1">{#N/A,#N/A,FALSE,"Aging Summary";#N/A,#N/A,FALSE,"Ratio Analysis";#N/A,#N/A,FALSE,"Test 120 Day Accts";#N/A,#N/A,FALSE,"Tickmarks"}</definedName>
    <definedName name="wrn_1A" hidden="1">{#N/A,#N/A,FALSE,"Aging Summary";#N/A,#N/A,FALSE,"Ratio Analysis";#N/A,#N/A,FALSE,"Test 120 Day Accts";#N/A,#N/A,FALSE,"Tickmarks"}</definedName>
    <definedName name="wrn_1a1" localSheetId="1" hidden="1">{#N/A,#N/A,FALSE,"Aging Summary";#N/A,#N/A,FALSE,"Ratio Analysis";#N/A,#N/A,FALSE,"Test 120 Day Accts";#N/A,#N/A,FALSE,"Tickmarks"}</definedName>
    <definedName name="wrn_1a1" hidden="1">{#N/A,#N/A,FALSE,"Aging Summary";#N/A,#N/A,FALSE,"Ratio Analysis";#N/A,#N/A,FALSE,"Test 120 Day Accts";#N/A,#N/A,FALSE,"Tickmarks"}</definedName>
    <definedName name="wrn_1a2" localSheetId="1" hidden="1">{#N/A,#N/A,FALSE,"Aging Summary";#N/A,#N/A,FALSE,"Ratio Analysis";#N/A,#N/A,FALSE,"Test 120 Day Accts";#N/A,#N/A,FALSE,"Tickmarks"}</definedName>
    <definedName name="wrn_1a2" hidden="1">{#N/A,#N/A,FALSE,"Aging Summary";#N/A,#N/A,FALSE,"Ratio Analysis";#N/A,#N/A,FALSE,"Test 120 Day Accts";#N/A,#N/A,FALSE,"Tickmarks"}</definedName>
    <definedName name="wrn_1a22" localSheetId="1" hidden="1">{#N/A,#N/A,FALSE,"Aging Summary";#N/A,#N/A,FALSE,"Ratio Analysis";#N/A,#N/A,FALSE,"Test 120 Day Accts";#N/A,#N/A,FALSE,"Tickmarks"}</definedName>
    <definedName name="wrn_1a22" hidden="1">{#N/A,#N/A,FALSE,"Aging Summary";#N/A,#N/A,FALSE,"Ratio Analysis";#N/A,#N/A,FALSE,"Test 120 Day Accts";#N/A,#N/A,FALSE,"Tickmarks"}</definedName>
    <definedName name="wrn_1P" localSheetId="1" hidden="1">{#N/A,#N/A,FALSE,"Aging Summary";#N/A,#N/A,FALSE,"Ratio Analysis";#N/A,#N/A,FALSE,"Test 120 Day Accts";#N/A,#N/A,FALSE,"Tickmarks"}</definedName>
    <definedName name="wrn_1P" hidden="1">{#N/A,#N/A,FALSE,"Aging Summary";#N/A,#N/A,FALSE,"Ratio Analysis";#N/A,#N/A,FALSE,"Test 120 Day Accts";#N/A,#N/A,FALSE,"Tickmarks"}</definedName>
    <definedName name="wrn_2" localSheetId="1" hidden="1">{#N/A,#N/A,FALSE,"Aging Summary";#N/A,#N/A,FALSE,"Ratio Analysis";#N/A,#N/A,FALSE,"Test 120 Day Accts";#N/A,#N/A,FALSE,"Tickmarks"}</definedName>
    <definedName name="wrn_2" hidden="1">{#N/A,#N/A,FALSE,"Aging Summary";#N/A,#N/A,FALSE,"Ratio Analysis";#N/A,#N/A,FALSE,"Test 120 Day Accts";#N/A,#N/A,FALSE,"Tickmarks"}</definedName>
    <definedName name="wrn_2009a" localSheetId="1" hidden="1">{#N/A,#N/A,FALSE,"Aging Summary";#N/A,#N/A,FALSE,"Ratio Analysis";#N/A,#N/A,FALSE,"Test 120 Day Accts";#N/A,#N/A,FALSE,"Tickmarks"}</definedName>
    <definedName name="wrn_2009a" hidden="1">{#N/A,#N/A,FALSE,"Aging Summary";#N/A,#N/A,FALSE,"Ratio Analysis";#N/A,#N/A,FALSE,"Test 120 Day Accts";#N/A,#N/A,FALSE,"Tickmarks"}</definedName>
    <definedName name="wrn_201" localSheetId="1" hidden="1">{#N/A,#N/A,FALSE,"Aging Summary";#N/A,#N/A,FALSE,"Ratio Analysis";#N/A,#N/A,FALSE,"Test 120 Day Accts";#N/A,#N/A,FALSE,"Tickmarks"}</definedName>
    <definedName name="wrn_201" hidden="1">{#N/A,#N/A,FALSE,"Aging Summary";#N/A,#N/A,FALSE,"Ratio Analysis";#N/A,#N/A,FALSE,"Test 120 Day Accts";#N/A,#N/A,FALSE,"Tickmarks"}</definedName>
    <definedName name="wrn_2010a" localSheetId="1" hidden="1">{#N/A,#N/A,FALSE,"Aging Summary";#N/A,#N/A,FALSE,"Ratio Analysis";#N/A,#N/A,FALSE,"Test 120 Day Accts";#N/A,#N/A,FALSE,"Tickmarks"}</definedName>
    <definedName name="wrn_2010a" hidden="1">{#N/A,#N/A,FALSE,"Aging Summary";#N/A,#N/A,FALSE,"Ratio Analysis";#N/A,#N/A,FALSE,"Test 120 Day Accts";#N/A,#N/A,FALSE,"Tickmarks"}</definedName>
    <definedName name="wrn_20a" localSheetId="1" hidden="1">{#N/A,#N/A,FALSE,"Aging Summary";#N/A,#N/A,FALSE,"Ratio Analysis";#N/A,#N/A,FALSE,"Test 120 Day Accts";#N/A,#N/A,FALSE,"Tickmarks"}</definedName>
    <definedName name="wrn_20a" hidden="1">{#N/A,#N/A,FALSE,"Aging Summary";#N/A,#N/A,FALSE,"Ratio Analysis";#N/A,#N/A,FALSE,"Test 120 Day Accts";#N/A,#N/A,FALSE,"Tickmarks"}</definedName>
    <definedName name="wrn_23a" localSheetId="1" hidden="1">{#N/A,#N/A,FALSE,"Aging Summary";#N/A,#N/A,FALSE,"Ratio Analysis";#N/A,#N/A,FALSE,"Test 120 Day Accts";#N/A,#N/A,FALSE,"Tickmarks"}</definedName>
    <definedName name="wrn_23a" hidden="1">{#N/A,#N/A,FALSE,"Aging Summary";#N/A,#N/A,FALSE,"Ratio Analysis";#N/A,#N/A,FALSE,"Test 120 Day Accts";#N/A,#N/A,FALSE,"Tickmarks"}</definedName>
    <definedName name="wrn_24a" localSheetId="1" hidden="1">{#N/A,#N/A,FALSE,"Aging Summary";#N/A,#N/A,FALSE,"Ratio Analysis";#N/A,#N/A,FALSE,"Test 120 Day Accts";#N/A,#N/A,FALSE,"Tickmarks"}</definedName>
    <definedName name="wrn_24a" hidden="1">{#N/A,#N/A,FALSE,"Aging Summary";#N/A,#N/A,FALSE,"Ratio Analysis";#N/A,#N/A,FALSE,"Test 120 Day Accts";#N/A,#N/A,FALSE,"Tickmarks"}</definedName>
    <definedName name="wrn_28a" localSheetId="1" hidden="1">{#N/A,#N/A,FALSE,"Aging Summary";#N/A,#N/A,FALSE,"Ratio Analysis";#N/A,#N/A,FALSE,"Test 120 Day Accts";#N/A,#N/A,FALSE,"Tickmarks"}</definedName>
    <definedName name="wrn_28a" hidden="1">{#N/A,#N/A,FALSE,"Aging Summary";#N/A,#N/A,FALSE,"Ratio Analysis";#N/A,#N/A,FALSE,"Test 120 Day Accts";#N/A,#N/A,FALSE,"Tickmarks"}</definedName>
    <definedName name="wrn_2a" localSheetId="1" hidden="1">{#N/A,#N/A,FALSE,"Aging Summary";#N/A,#N/A,FALSE,"Ratio Analysis";#N/A,#N/A,FALSE,"Test 120 Day Accts";#N/A,#N/A,FALSE,"Tickmarks"}</definedName>
    <definedName name="wrn_2a" hidden="1">{#N/A,#N/A,FALSE,"Aging Summary";#N/A,#N/A,FALSE,"Ratio Analysis";#N/A,#N/A,FALSE,"Test 120 Day Accts";#N/A,#N/A,FALSE,"Tickmarks"}</definedName>
    <definedName name="wrn_34p" localSheetId="1" hidden="1">{#N/A,#N/A,FALSE,"Aging Summary";#N/A,#N/A,FALSE,"Ratio Analysis";#N/A,#N/A,FALSE,"Test 120 Day Accts";#N/A,#N/A,FALSE,"Tickmarks"}</definedName>
    <definedName name="wrn_34p" hidden="1">{#N/A,#N/A,FALSE,"Aging Summary";#N/A,#N/A,FALSE,"Ratio Analysis";#N/A,#N/A,FALSE,"Test 120 Day Accts";#N/A,#N/A,FALSE,"Tickmarks"}</definedName>
    <definedName name="wrn_36a" localSheetId="1" hidden="1">{#N/A,#N/A,FALSE,"Aging Summary";#N/A,#N/A,FALSE,"Ratio Analysis";#N/A,#N/A,FALSE,"Test 120 Day Accts";#N/A,#N/A,FALSE,"Tickmarks"}</definedName>
    <definedName name="wrn_36a" hidden="1">{#N/A,#N/A,FALSE,"Aging Summary";#N/A,#N/A,FALSE,"Ratio Analysis";#N/A,#N/A,FALSE,"Test 120 Day Accts";#N/A,#N/A,FALSE,"Tickmarks"}</definedName>
    <definedName name="wrn_38a" localSheetId="1" hidden="1">{#N/A,#N/A,FALSE,"Aging Summary";#N/A,#N/A,FALSE,"Ratio Analysis";#N/A,#N/A,FALSE,"Test 120 Day Accts";#N/A,#N/A,FALSE,"Tickmarks"}</definedName>
    <definedName name="wrn_38a" hidden="1">{#N/A,#N/A,FALSE,"Aging Summary";#N/A,#N/A,FALSE,"Ratio Analysis";#N/A,#N/A,FALSE,"Test 120 Day Accts";#N/A,#N/A,FALSE,"Tickmarks"}</definedName>
    <definedName name="wrn_39a" localSheetId="1" hidden="1">{#N/A,#N/A,FALSE,"Aging Summary";#N/A,#N/A,FALSE,"Ratio Analysis";#N/A,#N/A,FALSE,"Test 120 Day Accts";#N/A,#N/A,FALSE,"Tickmarks"}</definedName>
    <definedName name="wrn_39a" hidden="1">{#N/A,#N/A,FALSE,"Aging Summary";#N/A,#N/A,FALSE,"Ratio Analysis";#N/A,#N/A,FALSE,"Test 120 Day Accts";#N/A,#N/A,FALSE,"Tickmarks"}</definedName>
    <definedName name="wrn_3a_1" localSheetId="1" hidden="1">{#N/A,#N/A,FALSE,"Aging Summary";#N/A,#N/A,FALSE,"Ratio Analysis";#N/A,#N/A,FALSE,"Test 120 Day Accts";#N/A,#N/A,FALSE,"Tickmarks"}</definedName>
    <definedName name="wrn_3a_1" hidden="1">{#N/A,#N/A,FALSE,"Aging Summary";#N/A,#N/A,FALSE,"Ratio Analysis";#N/A,#N/A,FALSE,"Test 120 Day Accts";#N/A,#N/A,FALSE,"Tickmarks"}</definedName>
    <definedName name="wrn_3p_1" localSheetId="1" hidden="1">{#N/A,#N/A,FALSE,"Aging Summary";#N/A,#N/A,FALSE,"Ratio Analysis";#N/A,#N/A,FALSE,"Test 120 Day Accts";#N/A,#N/A,FALSE,"Tickmarks"}</definedName>
    <definedName name="wrn_3p_1" hidden="1">{#N/A,#N/A,FALSE,"Aging Summary";#N/A,#N/A,FALSE,"Ratio Analysis";#N/A,#N/A,FALSE,"Test 120 Day Accts";#N/A,#N/A,FALSE,"Tickmarks"}</definedName>
    <definedName name="wrn_40a" localSheetId="1" hidden="1">{#N/A,#N/A,FALSE,"Aging Summary";#N/A,#N/A,FALSE,"Ratio Analysis";#N/A,#N/A,FALSE,"Test 120 Day Accts";#N/A,#N/A,FALSE,"Tickmarks"}</definedName>
    <definedName name="wrn_40a" hidden="1">{#N/A,#N/A,FALSE,"Aging Summary";#N/A,#N/A,FALSE,"Ratio Analysis";#N/A,#N/A,FALSE,"Test 120 Day Accts";#N/A,#N/A,FALSE,"Tickmarks"}</definedName>
    <definedName name="wrn_40P" localSheetId="1" hidden="1">{#N/A,#N/A,FALSE,"Aging Summary";#N/A,#N/A,FALSE,"Ratio Analysis";#N/A,#N/A,FALSE,"Test 120 Day Accts";#N/A,#N/A,FALSE,"Tickmarks"}</definedName>
    <definedName name="wrn_40P" hidden="1">{#N/A,#N/A,FALSE,"Aging Summary";#N/A,#N/A,FALSE,"Ratio Analysis";#N/A,#N/A,FALSE,"Test 120 Day Accts";#N/A,#N/A,FALSE,"Tickmarks"}</definedName>
    <definedName name="wrn_41A" localSheetId="1" hidden="1">{#N/A,#N/A,FALSE,"Aging Summary";#N/A,#N/A,FALSE,"Ratio Analysis";#N/A,#N/A,FALSE,"Test 120 Day Accts";#N/A,#N/A,FALSE,"Tickmarks"}</definedName>
    <definedName name="wrn_41A" hidden="1">{#N/A,#N/A,FALSE,"Aging Summary";#N/A,#N/A,FALSE,"Ratio Analysis";#N/A,#N/A,FALSE,"Test 120 Day Accts";#N/A,#N/A,FALSE,"Tickmarks"}</definedName>
    <definedName name="wrn_41P" localSheetId="1" hidden="1">{#N/A,#N/A,FALSE,"Aging Summary";#N/A,#N/A,FALSE,"Ratio Analysis";#N/A,#N/A,FALSE,"Test 120 Day Accts";#N/A,#N/A,FALSE,"Tickmarks"}</definedName>
    <definedName name="wrn_41P" hidden="1">{#N/A,#N/A,FALSE,"Aging Summary";#N/A,#N/A,FALSE,"Ratio Analysis";#N/A,#N/A,FALSE,"Test 120 Day Accts";#N/A,#N/A,FALSE,"Tickmarks"}</definedName>
    <definedName name="wrn_4a1" localSheetId="1" hidden="1">{#N/A,#N/A,FALSE,"Aging Summary";#N/A,#N/A,FALSE,"Ratio Analysis";#N/A,#N/A,FALSE,"Test 120 Day Accts";#N/A,#N/A,FALSE,"Tickmarks"}</definedName>
    <definedName name="wrn_4a1" hidden="1">{#N/A,#N/A,FALSE,"Aging Summary";#N/A,#N/A,FALSE,"Ratio Analysis";#N/A,#N/A,FALSE,"Test 120 Day Accts";#N/A,#N/A,FALSE,"Tickmarks"}</definedName>
    <definedName name="wrn_5p_1" localSheetId="1" hidden="1">{#N/A,#N/A,FALSE,"Aging Summary";#N/A,#N/A,FALSE,"Ratio Analysis";#N/A,#N/A,FALSE,"Test 120 Day Accts";#N/A,#N/A,FALSE,"Tickmarks"}</definedName>
    <definedName name="wrn_5p_1" hidden="1">{#N/A,#N/A,FALSE,"Aging Summary";#N/A,#N/A,FALSE,"Ratio Analysis";#N/A,#N/A,FALSE,"Test 120 Day Accts";#N/A,#N/A,FALSE,"Tickmarks"}</definedName>
    <definedName name="wrn_6a" localSheetId="1" hidden="1">{#N/A,#N/A,FALSE,"Aging Summary";#N/A,#N/A,FALSE,"Ratio Analysis";#N/A,#N/A,FALSE,"Test 120 Day Accts";#N/A,#N/A,FALSE,"Tickmarks"}</definedName>
    <definedName name="wrn_6a" hidden="1">{#N/A,#N/A,FALSE,"Aging Summary";#N/A,#N/A,FALSE,"Ratio Analysis";#N/A,#N/A,FALSE,"Test 120 Day Accts";#N/A,#N/A,FALSE,"Tickmarks"}</definedName>
    <definedName name="wrn_6a1" localSheetId="1" hidden="1">{#N/A,#N/A,FALSE,"Aging Summary";#N/A,#N/A,FALSE,"Ratio Analysis";#N/A,#N/A,FALSE,"Test 120 Day Accts";#N/A,#N/A,FALSE,"Tickmarks"}</definedName>
    <definedName name="wrn_6a1" hidden="1">{#N/A,#N/A,FALSE,"Aging Summary";#N/A,#N/A,FALSE,"Ratio Analysis";#N/A,#N/A,FALSE,"Test 120 Day Accts";#N/A,#N/A,FALSE,"Tickmarks"}</definedName>
    <definedName name="wrn_6p" localSheetId="1" hidden="1">{#N/A,#N/A,FALSE,"Aging Summary";#N/A,#N/A,FALSE,"Ratio Analysis";#N/A,#N/A,FALSE,"Test 120 Day Accts";#N/A,#N/A,FALSE,"Tickmarks"}</definedName>
    <definedName name="wrn_6p" hidden="1">{#N/A,#N/A,FALSE,"Aging Summary";#N/A,#N/A,FALSE,"Ratio Analysis";#N/A,#N/A,FALSE,"Test 120 Day Accts";#N/A,#N/A,FALSE,"Tickmarks"}</definedName>
    <definedName name="wrn_7p" localSheetId="1" hidden="1">{#N/A,#N/A,FALSE,"Aging Summary";#N/A,#N/A,FALSE,"Ratio Analysis";#N/A,#N/A,FALSE,"Test 120 Day Accts";#N/A,#N/A,FALSE,"Tickmarks"}</definedName>
    <definedName name="wrn_7p" hidden="1">{#N/A,#N/A,FALSE,"Aging Summary";#N/A,#N/A,FALSE,"Ratio Analysis";#N/A,#N/A,FALSE,"Test 120 Day Accts";#N/A,#N/A,FALSE,"Tickmarks"}</definedName>
    <definedName name="wrn_7p1" localSheetId="1" hidden="1">{#N/A,#N/A,FALSE,"Aging Summary";#N/A,#N/A,FALSE,"Ratio Analysis";#N/A,#N/A,FALSE,"Test 120 Day Accts";#N/A,#N/A,FALSE,"Tickmarks"}</definedName>
    <definedName name="wrn_7p1" hidden="1">{#N/A,#N/A,FALSE,"Aging Summary";#N/A,#N/A,FALSE,"Ratio Analysis";#N/A,#N/A,FALSE,"Test 120 Day Accts";#N/A,#N/A,FALSE,"Tickmarks"}</definedName>
    <definedName name="wrn_7p11" localSheetId="1" hidden="1">{#N/A,#N/A,FALSE,"Aging Summary";#N/A,#N/A,FALSE,"Ratio Analysis";#N/A,#N/A,FALSE,"Test 120 Day Accts";#N/A,#N/A,FALSE,"Tickmarks"}</definedName>
    <definedName name="wrn_7p11" hidden="1">{#N/A,#N/A,FALSE,"Aging Summary";#N/A,#N/A,FALSE,"Ratio Analysis";#N/A,#N/A,FALSE,"Test 120 Day Accts";#N/A,#N/A,FALSE,"Tickmarks"}</definedName>
    <definedName name="wrn_8a" localSheetId="1" hidden="1">{#N/A,#N/A,FALSE,"Aging Summary";#N/A,#N/A,FALSE,"Ratio Analysis";#N/A,#N/A,FALSE,"Test 120 Day Accts";#N/A,#N/A,FALSE,"Tickmarks"}</definedName>
    <definedName name="wrn_8a" hidden="1">{#N/A,#N/A,FALSE,"Aging Summary";#N/A,#N/A,FALSE,"Ratio Analysis";#N/A,#N/A,FALSE,"Test 120 Day Accts";#N/A,#N/A,FALSE,"Tickmarks"}</definedName>
    <definedName name="wrn_8a1" localSheetId="1" hidden="1">{#N/A,#N/A,FALSE,"Aging Summary";#N/A,#N/A,FALSE,"Ratio Analysis";#N/A,#N/A,FALSE,"Test 120 Day Accts";#N/A,#N/A,FALSE,"Tickmarks"}</definedName>
    <definedName name="wrn_8a1" hidden="1">{#N/A,#N/A,FALSE,"Aging Summary";#N/A,#N/A,FALSE,"Ratio Analysis";#N/A,#N/A,FALSE,"Test 120 Day Accts";#N/A,#N/A,FALSE,"Tickmarks"}</definedName>
    <definedName name="wrn_8p" localSheetId="1" hidden="1">{#N/A,#N/A,FALSE,"Aging Summary";#N/A,#N/A,FALSE,"Ratio Analysis";#N/A,#N/A,FALSE,"Test 120 Day Accts";#N/A,#N/A,FALSE,"Tickmarks"}</definedName>
    <definedName name="wrn_8p" hidden="1">{#N/A,#N/A,FALSE,"Aging Summary";#N/A,#N/A,FALSE,"Ratio Analysis";#N/A,#N/A,FALSE,"Test 120 Day Accts";#N/A,#N/A,FALSE,"Tickmarks"}</definedName>
    <definedName name="wrn_8p_v" localSheetId="1" hidden="1">{#N/A,#N/A,FALSE,"Aging Summary";#N/A,#N/A,FALSE,"Ratio Analysis";#N/A,#N/A,FALSE,"Test 120 Day Accts";#N/A,#N/A,FALSE,"Tickmarks"}</definedName>
    <definedName name="wrn_8p_v" hidden="1">{#N/A,#N/A,FALSE,"Aging Summary";#N/A,#N/A,FALSE,"Ratio Analysis";#N/A,#N/A,FALSE,"Test 120 Day Accts";#N/A,#N/A,FALSE,"Tickmarks"}</definedName>
    <definedName name="wrn_8p11" localSheetId="1" hidden="1">{#N/A,#N/A,FALSE,"Aging Summary";#N/A,#N/A,FALSE,"Ratio Analysis";#N/A,#N/A,FALSE,"Test 120 Day Accts";#N/A,#N/A,FALSE,"Tickmarks"}</definedName>
    <definedName name="wrn_8p11" hidden="1">{#N/A,#N/A,FALSE,"Aging Summary";#N/A,#N/A,FALSE,"Ratio Analysis";#N/A,#N/A,FALSE,"Test 120 Day Accts";#N/A,#N/A,FALSE,"Tickmarks"}</definedName>
    <definedName name="wrn_9a" localSheetId="1" hidden="1">{#N/A,#N/A,FALSE,"Aging Summary";#N/A,#N/A,FALSE,"Ratio Analysis";#N/A,#N/A,FALSE,"Test 120 Day Accts";#N/A,#N/A,FALSE,"Tickmarks"}</definedName>
    <definedName name="wrn_9a" hidden="1">{#N/A,#N/A,FALSE,"Aging Summary";#N/A,#N/A,FALSE,"Ratio Analysis";#N/A,#N/A,FALSE,"Test 120 Day Accts";#N/A,#N/A,FALSE,"Tickmarks"}</definedName>
    <definedName name="www" localSheetId="1" hidden="1">{#N/A,#N/A,FALSE,"SINTESI GESTIONALE";#N/A,#N/A,FALSE,"all.1 - LAVORO";#N/A,#N/A,FALSE,"all. 2 - SPESE AMM.TIVE";#N/A,#N/A,FALSE," SINTESI CIVILISTICO";#N/A,#N/A,FALSE,"Commerciale"}</definedName>
    <definedName name="www" hidden="1">{#N/A,#N/A,FALSE,"SINTESI GESTIONALE";#N/A,#N/A,FALSE,"all.1 - LAVORO";#N/A,#N/A,FALSE,"all. 2 - SPESE AMM.TIVE";#N/A,#N/A,FALSE," SINTESI CIVILISTICO";#N/A,#N/A,FALSE,"Commerciale"}</definedName>
    <definedName name="wwww" localSheetId="1" hidden="1">{#N/A,#N/A,TRUE,"CONTO ECONOMICO";#N/A,#N/A,TRUE,"1";#N/A,#N/A,TRUE,"2";#N/A,#N/A,TRUE,"3";#N/A,#N/A,TRUE,"4";#N/A,#N/A,TRUE,"5";#N/A,#N/A,TRUE,"6";#N/A,#N/A,TRUE,"7"}</definedName>
    <definedName name="wwww" hidden="1">{#N/A,#N/A,TRUE,"CONTO ECONOMICO";#N/A,#N/A,TRUE,"1";#N/A,#N/A,TRUE,"2";#N/A,#N/A,TRUE,"3";#N/A,#N/A,TRUE,"4";#N/A,#N/A,TRUE,"5";#N/A,#N/A,TRUE,"6";#N/A,#N/A,TRUE,"7"}</definedName>
    <definedName name="wwwww" localSheetId="1" hidden="1">{#N/A,#N/A,TRUE,"Analyse PNB";#N/A,#N/A,TRUE,"Analyse_vie";#N/A,#N/A,TRUE,"Hypothèses";#N/A,#N/A,TRUE,"Commentaires";#N/A,#N/A,TRUE,"synthèse";#N/A,#N/A,TRUE,"RT";#N/A,#N/A,TRUE,"FA";#N/A,#N/A,TRUE,"Fi";#N/A,#N/A,TRUE,"RT risque";#N/A,#N/A,TRUE,"Méthodes";#N/A,#N/A,TRUE,"commissions";#N/A,#N/A,TRUE,"Comm bpp"}</definedName>
    <definedName name="wwwww" hidden="1">{#N/A,#N/A,TRUE,"Analyse PNB";#N/A,#N/A,TRUE,"Analyse_vie";#N/A,#N/A,TRUE,"Hypothèses";#N/A,#N/A,TRUE,"Commentaires";#N/A,#N/A,TRUE,"synthèse";#N/A,#N/A,TRUE,"RT";#N/A,#N/A,TRUE,"FA";#N/A,#N/A,TRUE,"Fi";#N/A,#N/A,TRUE,"RT risque";#N/A,#N/A,TRUE,"Méthodes";#N/A,#N/A,TRUE,"commissions";#N/A,#N/A,TRUE,"Comm bpp"}</definedName>
    <definedName name="wwwwwwwwww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wwwwwwwww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wwwwwwwwwwww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wwwwwwwwwwww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X" hidden="1">#REF!</definedName>
    <definedName name="xxxx" hidden="1">#REF!</definedName>
    <definedName name="XXXXX"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XXXX"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yt" localSheetId="1" hidden="1">{#N/A,#N/A,FALSE,"SINTESI GESTIONALE";#N/A,#N/A,FALSE,"all.1 - LAVORO";#N/A,#N/A,FALSE,"all. 2 - SPESE AMM.TIVE";#N/A,#N/A,FALSE," SINTESI CIVILISTICO";#N/A,#N/A,FALSE,"Commerciale"}</definedName>
    <definedName name="yt" hidden="1">{#N/A,#N/A,FALSE,"SINTESI GESTIONALE";#N/A,#N/A,FALSE,"all.1 - LAVORO";#N/A,#N/A,FALSE,"all. 2 - SPESE AMM.TIVE";#N/A,#N/A,FALSE," SINTESI CIVILISTICO";#N/A,#N/A,FALSE,"Commerciale"}</definedName>
    <definedName name="Z_A382CEC3_58E1_11D6_BCB6_0008C7825075_.wvu.Cols" hidden="1">#REF!</definedName>
    <definedName name="Zaba.bank.bd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aba.bank.bd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orr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orr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ZZZZZZZ"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ZZZZZZZ"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 i="14" l="1"/>
  <c r="F4" i="5" l="1" a="1"/>
  <c r="F4" i="5" s="1"/>
  <c r="E3" i="5"/>
  <c r="H3" i="5" s="1"/>
  <c r="H20" i="5" s="1"/>
  <c r="H2" i="5" a="1"/>
  <c r="H2" i="5" s="1"/>
  <c r="F2" i="5" a="1"/>
  <c r="F2" i="5" s="1"/>
  <c r="E1" i="5"/>
  <c r="H1" i="5" s="1"/>
  <c r="AE4" i="5"/>
  <c r="AD4" i="5" a="1"/>
  <c r="AD4" i="5" s="1"/>
  <c r="W4" i="5"/>
  <c r="V4" i="5" a="1"/>
  <c r="V4" i="5" s="1"/>
  <c r="O4" i="5"/>
  <c r="N4" i="5" a="1"/>
  <c r="N4" i="5" s="1"/>
  <c r="AG3" i="5"/>
  <c r="AG4" i="5" s="1"/>
  <c r="AF3" i="5"/>
  <c r="AH3" i="5" s="1"/>
  <c r="Y3" i="5"/>
  <c r="AA3" i="5" s="1"/>
  <c r="AA4" i="5" s="1"/>
  <c r="X3" i="5"/>
  <c r="X4" i="5" s="1" a="1"/>
  <c r="X4" i="5" s="1"/>
  <c r="Q3" i="5"/>
  <c r="Q4" i="5" s="1"/>
  <c r="P3" i="5"/>
  <c r="P4" i="5" s="1" a="1"/>
  <c r="P4" i="5" s="1"/>
  <c r="N2" i="5" a="1"/>
  <c r="N2" i="5" s="1"/>
  <c r="P1" i="5"/>
  <c r="R1" i="5" s="1"/>
  <c r="AI3" i="5" l="1"/>
  <c r="AI4" i="5" s="1"/>
  <c r="F3" i="5"/>
  <c r="F1" i="5"/>
  <c r="AH4" i="5" a="1"/>
  <c r="AH4" i="5" s="1"/>
  <c r="AJ3" i="5"/>
  <c r="AJ4" i="5" s="1"/>
  <c r="Y4" i="5"/>
  <c r="R3" i="5"/>
  <c r="S3" i="5"/>
  <c r="S4" i="5" s="1"/>
  <c r="AF4" i="5" a="1"/>
  <c r="AF4" i="5" s="1"/>
  <c r="Z3" i="5"/>
  <c r="T1" i="5"/>
  <c r="R2" i="5" a="1"/>
  <c r="R2" i="5" s="1"/>
  <c r="P2" i="5" a="1"/>
  <c r="P2" i="5" s="1"/>
  <c r="AB3" i="5" l="1"/>
  <c r="AB4" i="5" s="1"/>
  <c r="Z4" i="5" a="1"/>
  <c r="Z4" i="5" s="1"/>
  <c r="R4" i="5" a="1"/>
  <c r="R4" i="5" s="1"/>
  <c r="T3" i="5"/>
  <c r="T4" i="5" s="1"/>
  <c r="V1" i="5"/>
  <c r="T2" i="5" a="1"/>
  <c r="T2" i="5" s="1"/>
  <c r="V2" i="5" l="1" a="1"/>
  <c r="V2" i="5" s="1"/>
  <c r="X1" i="5"/>
  <c r="Z1" i="5" l="1"/>
  <c r="X2" i="5" a="1"/>
  <c r="X2" i="5" s="1"/>
  <c r="AB1" i="5" l="1"/>
  <c r="AD1" i="5" s="1"/>
  <c r="AD2" i="5" s="1" a="1"/>
  <c r="AD2" i="5" s="1"/>
  <c r="Z2" i="5" a="1"/>
  <c r="Z2" i="5" s="1"/>
  <c r="AB2" i="5" l="1" a="1"/>
  <c r="AB2" i="5" s="1"/>
  <c r="AF1" i="5" l="1"/>
  <c r="AF2" i="5" l="1" a="1"/>
  <c r="AF2" i="5" s="1"/>
  <c r="AH1" i="5"/>
  <c r="AH2" i="5" l="1" a="1"/>
  <c r="AH2" i="5" s="1"/>
  <c r="AJ1" i="5"/>
  <c r="AJ2" i="5" s="1" a="1"/>
  <c r="AJ2" i="5" s="1"/>
  <c r="L89" i="4" l="1"/>
  <c r="AE4" i="4"/>
  <c r="AD4" i="4" a="1"/>
  <c r="AD4" i="4" s="1"/>
  <c r="AG3" i="4"/>
  <c r="AG4" i="4" s="1"/>
  <c r="AF3" i="4"/>
  <c r="AH3" i="4" s="1"/>
  <c r="W4" i="4"/>
  <c r="V4" i="4" a="1"/>
  <c r="V4" i="4" s="1"/>
  <c r="Y3" i="4"/>
  <c r="AA3" i="4" s="1"/>
  <c r="AA4" i="4" s="1"/>
  <c r="X3" i="4"/>
  <c r="Z3" i="4" s="1"/>
  <c r="P3" i="4"/>
  <c r="P4" i="4" s="1" a="1"/>
  <c r="P4" i="4" s="1"/>
  <c r="O4" i="4"/>
  <c r="N4" i="4" a="1"/>
  <c r="N4" i="4" s="1"/>
  <c r="P1" i="4"/>
  <c r="P8" i="4" s="1"/>
  <c r="N8" i="4"/>
  <c r="F4" i="4" a="1"/>
  <c r="F4" i="4" s="1"/>
  <c r="E3" i="4"/>
  <c r="H2" i="4" a="1"/>
  <c r="H2" i="4" s="1"/>
  <c r="F2" i="4" a="1"/>
  <c r="F2" i="4" s="1"/>
  <c r="E1" i="4"/>
  <c r="K1" i="4" s="1"/>
  <c r="L1" i="4" s="1"/>
  <c r="R3" i="4" l="1"/>
  <c r="T3" i="4" s="1"/>
  <c r="AH4" i="4" a="1"/>
  <c r="AH4" i="4" s="1"/>
  <c r="AJ3" i="4"/>
  <c r="AJ4" i="4" s="1"/>
  <c r="AI3" i="4"/>
  <c r="AI4" i="4" s="1"/>
  <c r="AF4" i="4" a="1"/>
  <c r="AF4" i="4" s="1"/>
  <c r="Z4" i="4" a="1"/>
  <c r="Z4" i="4" s="1"/>
  <c r="AB3" i="4"/>
  <c r="AB4" i="4" s="1"/>
  <c r="X4" i="4" a="1"/>
  <c r="X4" i="4" s="1"/>
  <c r="Y4" i="4"/>
  <c r="H3" i="4"/>
  <c r="R1" i="4"/>
  <c r="T1" i="4" s="1"/>
  <c r="V1" i="4" s="1"/>
  <c r="X1" i="4" s="1"/>
  <c r="X2" i="4" s="1" a="1"/>
  <c r="X2" i="4" s="1"/>
  <c r="F3" i="4"/>
  <c r="L8" i="4"/>
  <c r="K8" i="4"/>
  <c r="E8" i="4"/>
  <c r="P2" i="4" a="1"/>
  <c r="P2" i="4" s="1"/>
  <c r="L2" i="4" a="1"/>
  <c r="L2" i="4" s="1"/>
  <c r="F1" i="4"/>
  <c r="F8" i="4" s="1"/>
  <c r="H1" i="4"/>
  <c r="H8" i="4" s="1"/>
  <c r="R4" i="4" l="1" a="1"/>
  <c r="R4" i="4" s="1"/>
  <c r="X8" i="4"/>
  <c r="Z1" i="4"/>
  <c r="AB1" i="4" s="1"/>
  <c r="Z2" i="4" l="1" a="1"/>
  <c r="Z2" i="4" s="1"/>
  <c r="AD1" i="4"/>
  <c r="AB2" i="4" a="1"/>
  <c r="AB2" i="4" s="1"/>
  <c r="Q3" i="4"/>
  <c r="S3" i="4" s="1"/>
  <c r="S4" i="4" s="1"/>
  <c r="R8" i="4"/>
  <c r="N2" i="4" a="1"/>
  <c r="N2" i="4" s="1"/>
  <c r="AF1" i="4" l="1"/>
  <c r="AD2" i="4" a="1"/>
  <c r="AD2" i="4" s="1"/>
  <c r="Q4" i="4"/>
  <c r="T4" i="4"/>
  <c r="T8" i="4"/>
  <c r="R2" i="4" a="1"/>
  <c r="R2" i="4" s="1"/>
  <c r="AF2" i="4" l="1" a="1"/>
  <c r="AF2" i="4" s="1"/>
  <c r="AH1" i="4"/>
  <c r="AF8" i="4"/>
  <c r="T2" i="4" a="1"/>
  <c r="T2" i="4" s="1"/>
  <c r="AH2" i="4" l="1" a="1"/>
  <c r="AH2" i="4" s="1"/>
  <c r="AJ1" i="4"/>
  <c r="AJ2" i="4" s="1" a="1"/>
  <c r="AJ2" i="4" s="1"/>
  <c r="AH8" i="4"/>
  <c r="V8" i="4"/>
  <c r="Z8" i="4" l="1"/>
  <c r="V2" i="4" a="1"/>
  <c r="V2" i="4" s="1"/>
  <c r="AB8" i="4" l="1"/>
  <c r="AD8" i="4" l="1"/>
  <c r="AJ8" i="4" l="1"/>
  <c r="E71" i="17" l="1"/>
  <c r="AE58" i="17"/>
  <c r="E99" i="17"/>
  <c r="E96" i="17"/>
  <c r="AD2" i="14"/>
  <c r="AF2" i="14" s="1"/>
  <c r="AG2" i="14" s="1"/>
  <c r="AC2" i="14"/>
  <c r="AC1" i="14" s="1"/>
  <c r="AB1" i="14" a="1"/>
  <c r="AB1" i="14" s="1"/>
  <c r="S2" i="1"/>
  <c r="U2" i="1" s="1"/>
  <c r="V2" i="1" s="1"/>
  <c r="W2" i="1" s="1"/>
  <c r="R2" i="1"/>
  <c r="AA2" i="1"/>
  <c r="AC2" i="1" s="1"/>
  <c r="AD2" i="1" s="1"/>
  <c r="AE2" i="1" s="1"/>
  <c r="AE1" i="1" s="1"/>
  <c r="Z2" i="1"/>
  <c r="AH2" i="1"/>
  <c r="AI2" i="1"/>
  <c r="AK2" i="1" s="1"/>
  <c r="AH2" i="14" l="1"/>
  <c r="AH1" i="14" s="1"/>
  <c r="AG1" i="14"/>
  <c r="AD1" i="14" a="1"/>
  <c r="AD1" i="14" s="1"/>
  <c r="AE2" i="14"/>
  <c r="AE1" i="14" s="1"/>
  <c r="AD12" i="14" a="1"/>
  <c r="AD12" i="14" s="1"/>
  <c r="AJ2" i="1"/>
  <c r="T2" i="1"/>
  <c r="AB2" i="1"/>
  <c r="AR46" i="17" l="1"/>
  <c r="AP1" i="17" l="1"/>
  <c r="E46" i="17" l="1"/>
  <c r="E45" i="17"/>
  <c r="E41" i="17"/>
  <c r="E40" i="17"/>
  <c r="E111" i="17"/>
  <c r="E110" i="17"/>
  <c r="E109" i="17"/>
  <c r="E108" i="17"/>
  <c r="E107" i="17"/>
  <c r="E106" i="17"/>
  <c r="E105" i="17"/>
  <c r="E104" i="17"/>
  <c r="E103" i="17"/>
  <c r="E102" i="17"/>
  <c r="E101" i="17"/>
  <c r="E100" i="17"/>
  <c r="E98" i="17"/>
  <c r="E97" i="17"/>
  <c r="AR95" i="17"/>
  <c r="E95" i="17"/>
  <c r="AJ94" i="17"/>
  <c r="AI94" i="17"/>
  <c r="AH94" i="17"/>
  <c r="AG94" i="17"/>
  <c r="AF94" i="17"/>
  <c r="AE94" i="17"/>
  <c r="E94" i="17"/>
  <c r="Z92" i="17"/>
  <c r="W92" i="17"/>
  <c r="N92" i="17"/>
  <c r="G92" i="17"/>
  <c r="E90" i="17"/>
  <c r="E89" i="17"/>
  <c r="E88" i="17"/>
  <c r="E87" i="17"/>
  <c r="E86" i="17"/>
  <c r="E85" i="17"/>
  <c r="E84" i="17"/>
  <c r="E83" i="17"/>
  <c r="E82" i="17"/>
  <c r="E80" i="17"/>
  <c r="E79" i="17"/>
  <c r="E78" i="17"/>
  <c r="E77" i="17"/>
  <c r="E76" i="17"/>
  <c r="E75" i="17"/>
  <c r="E74" i="17"/>
  <c r="E73" i="17"/>
  <c r="E72" i="17"/>
  <c r="E70" i="17"/>
  <c r="E69" i="17"/>
  <c r="E68" i="17"/>
  <c r="E67" i="17"/>
  <c r="E66" i="17"/>
  <c r="E65" i="17"/>
  <c r="E64" i="17"/>
  <c r="E63" i="17"/>
  <c r="E62" i="17"/>
  <c r="E61" i="17"/>
  <c r="E60" i="17"/>
  <c r="E58" i="17"/>
  <c r="AR57" i="17"/>
  <c r="E57" i="17"/>
  <c r="AR56" i="17"/>
  <c r="E56" i="17"/>
  <c r="AR55" i="17"/>
  <c r="E55" i="17"/>
  <c r="AR53" i="17"/>
  <c r="E53" i="17"/>
  <c r="AR52" i="17"/>
  <c r="E52" i="17"/>
  <c r="AR51" i="17"/>
  <c r="E51" i="17"/>
  <c r="AR50" i="17"/>
  <c r="E50" i="17"/>
  <c r="E49" i="17"/>
  <c r="AR48" i="17"/>
  <c r="E48" i="17"/>
  <c r="E47" i="17"/>
  <c r="E44" i="17"/>
  <c r="E43" i="17"/>
  <c r="AR42" i="17"/>
  <c r="E42" i="17"/>
  <c r="AR39" i="17"/>
  <c r="E39" i="17"/>
  <c r="AR38" i="17"/>
  <c r="E38" i="17"/>
  <c r="E37" i="17"/>
  <c r="E36" i="17"/>
  <c r="AR35" i="17"/>
  <c r="E35" i="17"/>
  <c r="E34" i="17"/>
  <c r="AR32" i="17"/>
  <c r="E32" i="17"/>
  <c r="E31" i="17"/>
  <c r="E30" i="17"/>
  <c r="E29" i="17"/>
  <c r="AR27" i="17"/>
  <c r="E27" i="17"/>
  <c r="E26" i="17"/>
  <c r="E25" i="17"/>
  <c r="E24" i="17"/>
  <c r="E23" i="17"/>
  <c r="AR21" i="17"/>
  <c r="E21" i="17"/>
  <c r="AR20" i="17"/>
  <c r="E20" i="17"/>
  <c r="AR19" i="17"/>
  <c r="E19" i="17"/>
  <c r="AR18" i="17"/>
  <c r="E18" i="17"/>
  <c r="AR17" i="17"/>
  <c r="E17" i="17"/>
  <c r="AR16" i="17"/>
  <c r="E16" i="17"/>
  <c r="AO14" i="17"/>
  <c r="AN14" i="17"/>
  <c r="AM14" i="17"/>
  <c r="AJ14" i="17"/>
  <c r="AI14" i="17"/>
  <c r="AH14" i="17"/>
  <c r="AG14" i="17"/>
  <c r="AF14" i="17"/>
  <c r="AE14" i="17"/>
  <c r="E9" i="17"/>
  <c r="N1" i="17"/>
  <c r="T1" i="17" s="1"/>
  <c r="G1" i="17"/>
  <c r="G12" i="17" l="1"/>
  <c r="W12" i="17" s="1"/>
  <c r="Q1" i="17"/>
  <c r="W1" i="17"/>
  <c r="Z1" i="17"/>
  <c r="G13" i="17"/>
  <c r="AM94" i="17"/>
  <c r="AN94" i="17"/>
  <c r="AO94" i="17"/>
  <c r="I1" i="17"/>
  <c r="K1" i="17"/>
  <c r="N12" i="17"/>
  <c r="N13" i="17"/>
  <c r="O1" i="17"/>
  <c r="P87" i="17" l="1"/>
  <c r="P86" i="17"/>
  <c r="P83" i="17"/>
  <c r="U84" i="17"/>
  <c r="U75" i="17"/>
  <c r="U86" i="17"/>
  <c r="U83" i="17"/>
  <c r="R84" i="17"/>
  <c r="R75" i="17"/>
  <c r="J13" i="17"/>
  <c r="J14" i="17" s="1"/>
  <c r="J94" i="17" s="1"/>
  <c r="J87" i="17"/>
  <c r="J75" i="17"/>
  <c r="J83" i="17"/>
  <c r="L87" i="17"/>
  <c r="L75" i="17"/>
  <c r="L83" i="17"/>
  <c r="Q12" i="17"/>
  <c r="R12" i="17" s="1"/>
  <c r="T13" i="17"/>
  <c r="T14" i="17" s="1"/>
  <c r="T12" i="17"/>
  <c r="AC12" i="17" s="1"/>
  <c r="AC1" i="17"/>
  <c r="Q13" i="17"/>
  <c r="Q14" i="17" s="1"/>
  <c r="Q94" i="17" s="1"/>
  <c r="G89" i="17"/>
  <c r="G88" i="17"/>
  <c r="J12" i="17"/>
  <c r="N85" i="17"/>
  <c r="K13" i="17"/>
  <c r="K14" i="17" s="1"/>
  <c r="K12" i="17"/>
  <c r="N14" i="17"/>
  <c r="Z13" i="17"/>
  <c r="N89" i="17"/>
  <c r="Z12" i="17"/>
  <c r="G14" i="17"/>
  <c r="E8" i="17" s="1"/>
  <c r="W13" i="17"/>
  <c r="L12" i="17"/>
  <c r="G85" i="17"/>
  <c r="H1" i="17"/>
  <c r="O13" i="17"/>
  <c r="O12" i="17"/>
  <c r="AA12" i="17" s="1"/>
  <c r="AA1" i="17"/>
  <c r="L13" i="17"/>
  <c r="L14" i="17" s="1"/>
  <c r="I12" i="17"/>
  <c r="X12" i="17" s="1"/>
  <c r="X1" i="17"/>
  <c r="I13" i="17"/>
  <c r="N88" i="17"/>
  <c r="Q89" i="17" l="1"/>
  <c r="U13" i="17"/>
  <c r="U14" i="17" s="1"/>
  <c r="U94" i="17" s="1"/>
  <c r="AC13" i="17"/>
  <c r="R87" i="17"/>
  <c r="R13" i="17"/>
  <c r="R14" i="17" s="1"/>
  <c r="R94" i="17" s="1"/>
  <c r="U12" i="17"/>
  <c r="T85" i="17"/>
  <c r="R83" i="17"/>
  <c r="Q85" i="17"/>
  <c r="R85" i="17" s="1"/>
  <c r="T88" i="17"/>
  <c r="T89" i="17"/>
  <c r="U87" i="17"/>
  <c r="Q88" i="17"/>
  <c r="R88" i="17" s="1"/>
  <c r="R86" i="17"/>
  <c r="I89" i="17"/>
  <c r="K85" i="17"/>
  <c r="L85" i="17" s="1"/>
  <c r="P12" i="17"/>
  <c r="K88" i="17"/>
  <c r="L88" i="17" s="1"/>
  <c r="I88" i="17"/>
  <c r="J84" i="17"/>
  <c r="K89" i="17"/>
  <c r="L89" i="17" s="1"/>
  <c r="L84" i="17"/>
  <c r="O88" i="17"/>
  <c r="AA13" i="17"/>
  <c r="O14" i="17"/>
  <c r="I50" i="17"/>
  <c r="I14" i="17"/>
  <c r="X13" i="17"/>
  <c r="I69" i="17"/>
  <c r="P13" i="17"/>
  <c r="P14" i="17" s="1"/>
  <c r="L94" i="17"/>
  <c r="N90" i="17"/>
  <c r="I85" i="17"/>
  <c r="I65" i="17"/>
  <c r="O85" i="17"/>
  <c r="G94" i="17"/>
  <c r="W14" i="17"/>
  <c r="G90" i="17"/>
  <c r="N94" i="17"/>
  <c r="AM92" i="17" s="1"/>
  <c r="AE92" i="17"/>
  <c r="Z14" i="17"/>
  <c r="AM9" i="17"/>
  <c r="AE9" i="17"/>
  <c r="O89" i="17"/>
  <c r="K94" i="17"/>
  <c r="H13" i="17"/>
  <c r="H14" i="17" s="1"/>
  <c r="H12" i="17"/>
  <c r="I32" i="17"/>
  <c r="J86" i="17"/>
  <c r="I18" i="17"/>
  <c r="P75" i="17"/>
  <c r="R89" i="17"/>
  <c r="J57" i="17"/>
  <c r="L86" i="17"/>
  <c r="P84" i="17"/>
  <c r="T94" i="17"/>
  <c r="AC14" i="17"/>
  <c r="U89" i="17" l="1"/>
  <c r="P85" i="17"/>
  <c r="T90" i="17"/>
  <c r="J85" i="17"/>
  <c r="U85" i="17"/>
  <c r="J88" i="17"/>
  <c r="U88" i="17"/>
  <c r="P89" i="17"/>
  <c r="Q90" i="17"/>
  <c r="R90" i="17" s="1"/>
  <c r="J89" i="17"/>
  <c r="H89" i="17"/>
  <c r="K90" i="17"/>
  <c r="L90" i="17" s="1"/>
  <c r="I23" i="17"/>
  <c r="I94" i="17"/>
  <c r="X14" i="17"/>
  <c r="I90" i="17"/>
  <c r="W94" i="17"/>
  <c r="Z94" i="17"/>
  <c r="H85" i="17"/>
  <c r="H88" i="17"/>
  <c r="P94" i="17"/>
  <c r="O94" i="17"/>
  <c r="AA14" i="17"/>
  <c r="AC94" i="17"/>
  <c r="O90" i="17"/>
  <c r="H94" i="17"/>
  <c r="P88" i="17"/>
  <c r="U90" i="17" l="1"/>
  <c r="X94" i="17"/>
  <c r="I105" i="17"/>
  <c r="I108" i="17" s="1"/>
  <c r="I34" i="17"/>
  <c r="I27" i="17"/>
  <c r="I36" i="17"/>
  <c r="AA94" i="17"/>
  <c r="P90" i="17"/>
  <c r="H90" i="17"/>
  <c r="J90" i="17"/>
  <c r="I106" i="17" l="1"/>
  <c r="I37" i="17"/>
  <c r="I47" i="17"/>
  <c r="I35" i="17"/>
  <c r="I107" i="17" l="1"/>
  <c r="I52" i="17"/>
  <c r="I48" i="17"/>
  <c r="I109" i="17"/>
  <c r="I110" i="17" l="1"/>
  <c r="I53" i="17"/>
  <c r="I111" i="17" l="1"/>
  <c r="N47" i="4" l="1"/>
  <c r="P47" i="4"/>
  <c r="R47" i="4"/>
  <c r="T47" i="4"/>
  <c r="V47" i="4" l="1"/>
  <c r="X47" i="4" l="1"/>
  <c r="Z47" i="4" l="1"/>
  <c r="AB47" i="4" l="1"/>
  <c r="AD47" i="4" l="1"/>
  <c r="AF47" i="4" l="1"/>
  <c r="AH47" i="4" l="1"/>
  <c r="AJ47" i="4" l="1"/>
  <c r="AE12" i="14" l="1"/>
  <c r="S12" i="14"/>
  <c r="Y12" i="14"/>
  <c r="Z12" i="14"/>
  <c r="W12" i="14"/>
  <c r="U12" i="14"/>
  <c r="P1" i="14"/>
  <c r="E2" i="9"/>
  <c r="P12" i="14" l="1"/>
  <c r="E11" i="14"/>
  <c r="E15" i="13" l="1"/>
  <c r="E14" i="13"/>
  <c r="F2" i="13"/>
  <c r="G2" i="13" s="1"/>
  <c r="H2" i="13" s="1"/>
  <c r="AH12" i="14"/>
  <c r="AG12" i="14"/>
  <c r="E5" i="13" l="1" a="1"/>
  <c r="E5" i="13" s="1"/>
  <c r="G5" i="13" l="1"/>
  <c r="M12" i="14"/>
  <c r="E4" i="1"/>
  <c r="J2" i="1" s="1"/>
  <c r="F12" i="14" l="1" a="1"/>
  <c r="F12" i="14" s="1"/>
  <c r="J1" i="1" l="1"/>
  <c r="I1" i="1"/>
  <c r="I5" i="1" l="1"/>
  <c r="J5" i="1"/>
  <c r="E12" i="14" l="1" a="1"/>
  <c r="E12" i="14" s="1"/>
  <c r="J1" i="14"/>
  <c r="J12" i="14" l="1"/>
  <c r="AB12" i="14" a="1"/>
  <c r="AB12" i="14" s="1"/>
  <c r="V2" i="14" l="1"/>
  <c r="L5" i="13" l="1"/>
  <c r="K5" i="13"/>
  <c r="I5" i="13"/>
  <c r="F5" i="13" l="1" a="1"/>
  <c r="F5" i="13" s="1"/>
  <c r="I2" i="13" l="1"/>
  <c r="K2" i="13" l="1"/>
  <c r="L2" i="13" s="1"/>
  <c r="J2" i="13"/>
  <c r="AG1" i="1" a="1"/>
  <c r="AG1" i="1" s="1"/>
  <c r="E6" i="5" l="1"/>
  <c r="P20" i="5" a="1"/>
  <c r="P20" i="5" s="1"/>
  <c r="E20" i="5" a="1"/>
  <c r="E20" i="5" s="1"/>
  <c r="K2" i="5" a="1"/>
  <c r="K2" i="5" s="1"/>
  <c r="E6" i="4"/>
  <c r="E70" i="4" a="1"/>
  <c r="E70" i="4" s="1"/>
  <c r="P8" i="5" l="1"/>
  <c r="F20" i="5" a="1"/>
  <c r="F20" i="5" s="1"/>
  <c r="K1" i="5"/>
  <c r="K8" i="5" s="1"/>
  <c r="K27" i="4"/>
  <c r="H70" i="4"/>
  <c r="N70" i="4" a="1"/>
  <c r="N70" i="4" s="1"/>
  <c r="E27" i="4" a="1"/>
  <c r="E27" i="4" s="1"/>
  <c r="E47" i="4"/>
  <c r="H27" i="4"/>
  <c r="N27" i="4" a="1"/>
  <c r="N27" i="4" s="1"/>
  <c r="N20" i="5" a="1"/>
  <c r="N20" i="5" s="1"/>
  <c r="E8" i="5"/>
  <c r="K3" i="5"/>
  <c r="I3" i="5"/>
  <c r="N8" i="5"/>
  <c r="F47" i="4"/>
  <c r="H47" i="4"/>
  <c r="R8" i="5" l="1"/>
  <c r="Q27" i="4"/>
  <c r="P27" i="4" a="1"/>
  <c r="P27" i="4" s="1"/>
  <c r="R20" i="5" a="1"/>
  <c r="R20" i="5" s="1"/>
  <c r="V20" i="5" a="1"/>
  <c r="V20" i="5" s="1"/>
  <c r="O70" i="4"/>
  <c r="O27" i="4"/>
  <c r="F27" i="4" a="1"/>
  <c r="F27" i="4" s="1"/>
  <c r="F70" i="4" a="1"/>
  <c r="F70" i="4" s="1"/>
  <c r="K70" i="4"/>
  <c r="P70" i="4" a="1"/>
  <c r="P70" i="4" s="1"/>
  <c r="K47" i="4"/>
  <c r="L47" i="4"/>
  <c r="F8" i="5"/>
  <c r="L8" i="5"/>
  <c r="H8" i="5"/>
  <c r="O20" i="5"/>
  <c r="Q20" i="5"/>
  <c r="I4" i="5"/>
  <c r="K4" i="5"/>
  <c r="K20" i="5"/>
  <c r="T8" i="5" l="1"/>
  <c r="Q70" i="4"/>
  <c r="R27" i="4" a="1"/>
  <c r="R27" i="4" s="1"/>
  <c r="W20" i="5"/>
  <c r="X20" i="5" a="1"/>
  <c r="X20" i="5" s="1"/>
  <c r="T20" i="5" a="1"/>
  <c r="T20" i="5" s="1"/>
  <c r="R70" i="4" a="1"/>
  <c r="R70" i="4" s="1"/>
  <c r="S20" i="5"/>
  <c r="S27" i="4"/>
  <c r="V8" i="5" l="1"/>
  <c r="T70" i="4" a="1"/>
  <c r="T70" i="4" s="1"/>
  <c r="T27" i="4" a="1"/>
  <c r="T27" i="4" s="1"/>
  <c r="S70" i="4"/>
  <c r="V70" i="4" l="1" a="1"/>
  <c r="V70" i="4" s="1"/>
  <c r="V27" i="4" a="1"/>
  <c r="V27" i="4" s="1"/>
  <c r="W27" i="4"/>
  <c r="AA20" i="5"/>
  <c r="Y20" i="5"/>
  <c r="Z20" i="5" a="1"/>
  <c r="Z20" i="5" s="1"/>
  <c r="Z8" i="5"/>
  <c r="X8" i="5"/>
  <c r="X27" i="4" a="1"/>
  <c r="X27" i="4" s="1"/>
  <c r="W70" i="4"/>
  <c r="X70" i="4" a="1"/>
  <c r="X70" i="4" s="1"/>
  <c r="AA70" i="4"/>
  <c r="AB20" i="5" l="1" a="1"/>
  <c r="AB20" i="5" s="1"/>
  <c r="AD8" i="5"/>
  <c r="AB8" i="5"/>
  <c r="AB27" i="4"/>
  <c r="AB70" i="4"/>
  <c r="AA27" i="4"/>
  <c r="Y27" i="4"/>
  <c r="Y70" i="4"/>
  <c r="Z27" i="4" a="1"/>
  <c r="Z27" i="4" s="1"/>
  <c r="Z70" i="4" a="1"/>
  <c r="Z70" i="4" s="1"/>
  <c r="AD20" i="5" l="1" a="1"/>
  <c r="AD20" i="5" s="1"/>
  <c r="AF8" i="5"/>
  <c r="AD27" i="4" a="1"/>
  <c r="AD27" i="4" s="1"/>
  <c r="AD70" i="4" a="1"/>
  <c r="AD70" i="4" s="1"/>
  <c r="AF20" i="5" l="1" a="1"/>
  <c r="AF20" i="5" s="1"/>
  <c r="AJ8" i="5"/>
  <c r="AH8" i="5"/>
  <c r="AE70" i="4"/>
  <c r="AE27" i="4"/>
  <c r="AF70" i="4" a="1"/>
  <c r="AF70" i="4" s="1"/>
  <c r="AF27" i="4" a="1"/>
  <c r="AF27" i="4" s="1"/>
  <c r="AI27" i="4" l="1"/>
  <c r="AG70" i="4"/>
  <c r="AG27" i="4"/>
  <c r="AH27" i="4" a="1"/>
  <c r="AH27" i="4" s="1"/>
  <c r="AJ27" i="4" l="1"/>
  <c r="AH70" i="4" a="1"/>
  <c r="AH70" i="4" s="1"/>
  <c r="E6" i="3"/>
  <c r="F4" i="3" a="1"/>
  <c r="F4" i="3" s="1"/>
  <c r="E3" i="3"/>
  <c r="H2" i="3" a="1"/>
  <c r="H2" i="3" s="1"/>
  <c r="F2" i="3" a="1"/>
  <c r="F2" i="3" s="1"/>
  <c r="E1" i="3"/>
  <c r="N1" i="1"/>
  <c r="E7" i="9"/>
  <c r="E5" i="9"/>
  <c r="K3" i="3" l="1"/>
  <c r="M3" i="3" s="1"/>
  <c r="O3" i="3" s="1"/>
  <c r="L3" i="3"/>
  <c r="L4" i="3" s="1"/>
  <c r="H3" i="3"/>
  <c r="H42" i="3" s="1"/>
  <c r="E30" i="3"/>
  <c r="K1" i="3"/>
  <c r="AE20" i="5"/>
  <c r="AJ70" i="4" a="1"/>
  <c r="AJ70" i="4" s="1"/>
  <c r="AI70" i="4"/>
  <c r="O74" i="1"/>
  <c r="O79" i="1"/>
  <c r="O73" i="1"/>
  <c r="O78" i="1"/>
  <c r="O72" i="1"/>
  <c r="O77" i="1"/>
  <c r="O76" i="1"/>
  <c r="O75" i="1"/>
  <c r="E64" i="3" a="1"/>
  <c r="E64" i="3" s="1"/>
  <c r="E42" i="3" a="1"/>
  <c r="E42" i="3" s="1"/>
  <c r="E53" i="3" a="1"/>
  <c r="E53" i="3" s="1"/>
  <c r="F1" i="3"/>
  <c r="F30" i="3" s="1"/>
  <c r="E19" i="3"/>
  <c r="F3" i="3"/>
  <c r="F64" i="3" s="1" a="1"/>
  <c r="F64" i="3" s="1"/>
  <c r="E8" i="3"/>
  <c r="H1" i="3"/>
  <c r="H30" i="3" s="1"/>
  <c r="E1" i="9" a="1"/>
  <c r="E1" i="9" s="1"/>
  <c r="H2" i="9"/>
  <c r="K30" i="3" l="1"/>
  <c r="K2" i="3" a="1"/>
  <c r="K2" i="3" s="1"/>
  <c r="H64" i="3"/>
  <c r="H53" i="3"/>
  <c r="I3" i="3"/>
  <c r="K42" i="3" a="1"/>
  <c r="K42" i="3" s="1"/>
  <c r="N3" i="3"/>
  <c r="K64" i="3" a="1"/>
  <c r="K64" i="3" s="1"/>
  <c r="K53" i="3" a="1"/>
  <c r="K53" i="3" s="1"/>
  <c r="M4" i="3" a="1"/>
  <c r="M4" i="3" s="1"/>
  <c r="K8" i="3"/>
  <c r="K19" i="3"/>
  <c r="M1" i="3"/>
  <c r="M30" i="3" s="1"/>
  <c r="P3" i="3"/>
  <c r="Q3" i="3"/>
  <c r="AG20" i="5"/>
  <c r="AH20" i="5" a="1"/>
  <c r="AH20" i="5" s="1"/>
  <c r="F1" i="9"/>
  <c r="M53" i="3" a="1"/>
  <c r="M53" i="3" s="1"/>
  <c r="M64" i="3" a="1"/>
  <c r="M64" i="3" s="1"/>
  <c r="L53" i="3"/>
  <c r="L64" i="3"/>
  <c r="F42" i="3" a="1"/>
  <c r="F42" i="3" s="1"/>
  <c r="F53" i="3" a="1"/>
  <c r="F53" i="3" s="1"/>
  <c r="M42" i="3" a="1"/>
  <c r="M42" i="3" s="1"/>
  <c r="H19" i="3"/>
  <c r="F19" i="3"/>
  <c r="L42" i="3"/>
  <c r="I4" i="3"/>
  <c r="F8" i="3"/>
  <c r="H8" i="3"/>
  <c r="H1" i="9" a="1"/>
  <c r="H1" i="9" s="1"/>
  <c r="K2" i="9"/>
  <c r="H7" i="9"/>
  <c r="M2" i="3" l="1" a="1"/>
  <c r="M2" i="3" s="1"/>
  <c r="M8" i="3"/>
  <c r="O1" i="3"/>
  <c r="O30" i="3" s="1"/>
  <c r="M19" i="3"/>
  <c r="E13" i="9"/>
  <c r="AI20" i="5"/>
  <c r="O64" i="3" a="1"/>
  <c r="O64" i="3" s="1"/>
  <c r="P64" i="3"/>
  <c r="O4" i="3" a="1"/>
  <c r="O4" i="3" s="1"/>
  <c r="O53" i="3" a="1"/>
  <c r="O53" i="3" s="1"/>
  <c r="O42" i="3" a="1"/>
  <c r="O42" i="3" s="1"/>
  <c r="N53" i="3"/>
  <c r="N64" i="3"/>
  <c r="N42" i="3"/>
  <c r="N4" i="3"/>
  <c r="K1" i="9" a="1"/>
  <c r="K1" i="9" s="1"/>
  <c r="N2" i="9"/>
  <c r="K7" i="9"/>
  <c r="I1" i="9"/>
  <c r="O2" i="3" l="1" a="1"/>
  <c r="O2" i="3" s="1"/>
  <c r="O19" i="3"/>
  <c r="Q1" i="3"/>
  <c r="S1" i="3" s="1"/>
  <c r="U1" i="3" s="1"/>
  <c r="U30" i="3" s="1"/>
  <c r="O8" i="3"/>
  <c r="AJ20" i="5" a="1"/>
  <c r="AJ20" i="5" s="1"/>
  <c r="Q53" i="3"/>
  <c r="Q64" i="3"/>
  <c r="Q42" i="3"/>
  <c r="T3" i="3"/>
  <c r="S3" i="3"/>
  <c r="Q4" i="3"/>
  <c r="P4" i="3"/>
  <c r="P42" i="3"/>
  <c r="P53" i="3"/>
  <c r="H13" i="9"/>
  <c r="L1" i="9"/>
  <c r="N1" i="9" a="1"/>
  <c r="N1" i="9" s="1"/>
  <c r="Q2" i="9"/>
  <c r="T2" i="9" s="1"/>
  <c r="N7" i="9"/>
  <c r="Q19" i="3" l="1"/>
  <c r="Q30" i="3"/>
  <c r="Q8" i="3"/>
  <c r="Q2" i="3" a="1"/>
  <c r="Q2" i="3" s="1"/>
  <c r="S64" i="3" a="1"/>
  <c r="S64" i="3" s="1"/>
  <c r="S53" i="3" a="1"/>
  <c r="S53" i="3" s="1"/>
  <c r="T53" i="3"/>
  <c r="T64" i="3"/>
  <c r="S42" i="3" a="1"/>
  <c r="S42" i="3" s="1"/>
  <c r="U3" i="3"/>
  <c r="V3" i="3"/>
  <c r="V42" i="3" s="1"/>
  <c r="T4" i="3"/>
  <c r="T42" i="3"/>
  <c r="U19" i="3"/>
  <c r="S19" i="3"/>
  <c r="S30" i="3"/>
  <c r="S2" i="3" a="1"/>
  <c r="S2" i="3" s="1"/>
  <c r="S8" i="3"/>
  <c r="W1" i="3"/>
  <c r="W30" i="3" s="1"/>
  <c r="U2" i="3" a="1"/>
  <c r="U2" i="3" s="1"/>
  <c r="U8" i="3"/>
  <c r="W2" i="9"/>
  <c r="T1" i="9" a="1"/>
  <c r="T1" i="9" s="1"/>
  <c r="T7" i="9"/>
  <c r="Q7" i="9"/>
  <c r="Q1" i="9" a="1"/>
  <c r="Q1" i="9" s="1"/>
  <c r="O1" i="9"/>
  <c r="V53" i="3" l="1"/>
  <c r="V64" i="3"/>
  <c r="U53" i="3" a="1"/>
  <c r="U53" i="3" s="1"/>
  <c r="U64" i="3" a="1"/>
  <c r="U64" i="3" s="1"/>
  <c r="V4" i="3"/>
  <c r="X3" i="3"/>
  <c r="W3" i="3"/>
  <c r="U4" i="3" a="1"/>
  <c r="U4" i="3" s="1"/>
  <c r="U42" i="3" a="1"/>
  <c r="U42" i="3" s="1"/>
  <c r="W19" i="3"/>
  <c r="W8" i="3"/>
  <c r="Y1" i="3"/>
  <c r="W2" i="3" a="1"/>
  <c r="W2" i="3" s="1"/>
  <c r="U1" i="9"/>
  <c r="W1" i="9" a="1"/>
  <c r="W1" i="9" s="1"/>
  <c r="W7" i="9"/>
  <c r="Z2" i="9"/>
  <c r="R1" i="9"/>
  <c r="Y3" i="3" l="1"/>
  <c r="Y42" i="3" s="1"/>
  <c r="W53" i="3" a="1"/>
  <c r="W53" i="3" s="1"/>
  <c r="W64" i="3" a="1"/>
  <c r="W64" i="3" s="1"/>
  <c r="X53" i="3"/>
  <c r="X64" i="3"/>
  <c r="X4" i="3"/>
  <c r="X42" i="3"/>
  <c r="Y30" i="3"/>
  <c r="Y19" i="3"/>
  <c r="Y8" i="3"/>
  <c r="W4" i="3" a="1"/>
  <c r="W4" i="3" s="1"/>
  <c r="W42" i="3" a="1"/>
  <c r="W42" i="3" s="1"/>
  <c r="AA1" i="3"/>
  <c r="Y2" i="3" a="1"/>
  <c r="Y2" i="3" s="1"/>
  <c r="T13" i="9"/>
  <c r="X1" i="9"/>
  <c r="AC2" i="9"/>
  <c r="Z1" i="9" a="1"/>
  <c r="Z1" i="9" s="1"/>
  <c r="Z7" i="9"/>
  <c r="Q13" i="9"/>
  <c r="E5" i="1" a="1"/>
  <c r="E5" i="1" s="1"/>
  <c r="F1" i="1" a="1"/>
  <c r="F1" i="1" s="1"/>
  <c r="AA3" i="3" l="1"/>
  <c r="AA53" i="3" s="1" a="1"/>
  <c r="AA53" i="3" s="1"/>
  <c r="AB3" i="3"/>
  <c r="AB64" i="3" s="1"/>
  <c r="Y4" i="3"/>
  <c r="Y53" i="3" a="1"/>
  <c r="Y53" i="3" s="1"/>
  <c r="Y64" i="3" a="1"/>
  <c r="Y64" i="3" s="1"/>
  <c r="AA8" i="3"/>
  <c r="AA30" i="3"/>
  <c r="AA2" i="3" a="1"/>
  <c r="AA2" i="3" s="1"/>
  <c r="AC1" i="3"/>
  <c r="AA19" i="3"/>
  <c r="W13" i="9"/>
  <c r="AA1" i="9"/>
  <c r="AF2" i="9"/>
  <c r="AC7" i="9"/>
  <c r="AC1" i="9" a="1"/>
  <c r="AC1" i="9" s="1"/>
  <c r="U13" i="9"/>
  <c r="R13" i="9"/>
  <c r="AB4" i="3" l="1"/>
  <c r="AB42" i="3"/>
  <c r="AD3" i="3"/>
  <c r="AD53" i="3" s="1"/>
  <c r="AC3" i="3"/>
  <c r="AE3" i="3" s="1"/>
  <c r="AA42" i="3" a="1"/>
  <c r="AA42" i="3" s="1"/>
  <c r="AB53" i="3"/>
  <c r="AA64" i="3" a="1"/>
  <c r="AA64" i="3" s="1"/>
  <c r="AC2" i="3" a="1"/>
  <c r="AC2" i="3" s="1"/>
  <c r="AC30" i="3"/>
  <c r="AC8" i="3"/>
  <c r="AE1" i="3"/>
  <c r="AE30" i="3" s="1"/>
  <c r="AC19" i="3"/>
  <c r="AD1" i="9"/>
  <c r="Z13" i="9"/>
  <c r="AF1" i="9" a="1"/>
  <c r="AF1" i="9" s="1"/>
  <c r="AF7" i="9"/>
  <c r="AI2" i="9"/>
  <c r="AL2" i="9" s="1"/>
  <c r="AO2" i="9" s="1"/>
  <c r="AR2" i="9" s="1"/>
  <c r="X13" i="9"/>
  <c r="AD64" i="3" l="1"/>
  <c r="AC53" i="3" a="1"/>
  <c r="AC53" i="3" s="1"/>
  <c r="AC64" i="3" a="1"/>
  <c r="AC64" i="3" s="1"/>
  <c r="AC4" i="3" a="1"/>
  <c r="AC4" i="3" s="1"/>
  <c r="AC42" i="3" a="1"/>
  <c r="AC42" i="3" s="1"/>
  <c r="AD4" i="3"/>
  <c r="AD42" i="3"/>
  <c r="AF3" i="3"/>
  <c r="AF53" i="3" s="1"/>
  <c r="AE64" i="3" a="1"/>
  <c r="AE64" i="3" s="1"/>
  <c r="AE53" i="3" a="1"/>
  <c r="AE53" i="3" s="1"/>
  <c r="AG3" i="3"/>
  <c r="AE42" i="3" a="1"/>
  <c r="AE42" i="3" s="1"/>
  <c r="AE4" i="3" a="1"/>
  <c r="AE4" i="3" s="1"/>
  <c r="AE19" i="3"/>
  <c r="AE8" i="3"/>
  <c r="AG1" i="3"/>
  <c r="AG30" i="3" s="1"/>
  <c r="AE2" i="3" a="1"/>
  <c r="AE2" i="3" s="1"/>
  <c r="AR1" i="9" a="1"/>
  <c r="AR1" i="9" s="1"/>
  <c r="AR7" i="9"/>
  <c r="AO1" i="9" a="1"/>
  <c r="AO1" i="9" s="1"/>
  <c r="AO7" i="9"/>
  <c r="AL1" i="9" a="1"/>
  <c r="AL1" i="9" s="1"/>
  <c r="AL7" i="9"/>
  <c r="AC13" i="9"/>
  <c r="AA13" i="9"/>
  <c r="AI1" i="9" a="1"/>
  <c r="AI1" i="9" s="1"/>
  <c r="AI7" i="9"/>
  <c r="AG1" i="9"/>
  <c r="AF4" i="3" l="1"/>
  <c r="AF42" i="3"/>
  <c r="AF64" i="3"/>
  <c r="AG64" i="3"/>
  <c r="AG53" i="3"/>
  <c r="AG42" i="3"/>
  <c r="AG4" i="3"/>
  <c r="AG19" i="3"/>
  <c r="AG2" i="3" a="1"/>
  <c r="AG2" i="3" s="1"/>
  <c r="AG8" i="3"/>
  <c r="AS1" i="9"/>
  <c r="AP1" i="9"/>
  <c r="AM1" i="9"/>
  <c r="AD13" i="9"/>
  <c r="AF13" i="9"/>
  <c r="AJ1" i="9"/>
  <c r="AR13" i="9" l="1"/>
  <c r="AO13" i="9"/>
  <c r="AL13" i="9"/>
  <c r="AI13" i="9"/>
  <c r="AG13" i="9"/>
  <c r="AS13" i="9" l="1"/>
  <c r="AP13" i="9"/>
  <c r="AM13" i="9"/>
  <c r="AJ13" i="9"/>
  <c r="Q1" i="1" l="1" a="1"/>
  <c r="Q1" i="1" s="1"/>
  <c r="N5" i="1"/>
  <c r="Q5" i="1" a="1"/>
  <c r="Q5" i="1" s="1"/>
  <c r="R1" i="1" l="1"/>
  <c r="S1" i="1" a="1"/>
  <c r="S1" i="1" s="1"/>
  <c r="S5" i="1" a="1"/>
  <c r="S5" i="1" s="1"/>
  <c r="V1" i="1" l="1"/>
  <c r="W1" i="1"/>
  <c r="T1" i="1"/>
  <c r="R5" i="1"/>
  <c r="T5" i="1" l="1"/>
  <c r="Y1" i="1" a="1"/>
  <c r="Y1" i="1" s="1"/>
  <c r="W5" i="1" a="1"/>
  <c r="W5" i="1" s="1"/>
  <c r="V5" i="1"/>
  <c r="F5" i="1" a="1"/>
  <c r="F5" i="1" s="1"/>
  <c r="B2" i="2" a="1"/>
  <c r="B2" i="2" s="1"/>
  <c r="B1" i="2"/>
  <c r="E2" i="5" l="1"/>
  <c r="E4" i="5"/>
  <c r="E4" i="4"/>
  <c r="K2" i="4"/>
  <c r="E2" i="4"/>
  <c r="Z1" i="1"/>
  <c r="Y5" i="1" a="1"/>
  <c r="Y5" i="1" s="1"/>
  <c r="AA5" i="1" a="1"/>
  <c r="AA5" i="1" s="1"/>
  <c r="AA1" i="1" a="1"/>
  <c r="AA1" i="1" s="1"/>
  <c r="I1" i="14"/>
  <c r="AB1" i="1"/>
  <c r="E4" i="3"/>
  <c r="E2" i="3"/>
  <c r="E1" i="1"/>
  <c r="AH1" i="1"/>
  <c r="AG5" i="1" a="1"/>
  <c r="AG5" i="1" s="1"/>
  <c r="AD1" i="1" l="1"/>
  <c r="Z5" i="1"/>
  <c r="I12" i="14"/>
  <c r="AC12" i="14"/>
  <c r="AB5" i="1"/>
  <c r="AH5" i="1"/>
  <c r="AI1" i="1" a="1"/>
  <c r="AI1" i="1" s="1"/>
  <c r="AJ1" i="1"/>
  <c r="AI5" i="1" a="1"/>
  <c r="AI5" i="1" s="1"/>
  <c r="N13" i="9"/>
  <c r="O13" i="9"/>
  <c r="K13" i="9"/>
  <c r="I13" i="9"/>
  <c r="AD5" i="1" l="1"/>
  <c r="AE5" i="1"/>
  <c r="AK1" i="1" a="1"/>
  <c r="AK1" i="1" s="1"/>
  <c r="AL2" i="1"/>
  <c r="AK5" i="1" a="1"/>
  <c r="AK5" i="1" s="1"/>
  <c r="AJ5" i="1"/>
  <c r="L13" i="9"/>
  <c r="F13" i="9"/>
  <c r="AM2" i="1" l="1"/>
  <c r="AL1" i="1"/>
  <c r="AL5" i="1" l="1"/>
  <c r="AM1" i="1"/>
  <c r="AM5" i="1" l="1"/>
  <c r="K76" i="1" l="1"/>
  <c r="K72" i="1"/>
  <c r="K75" i="1"/>
  <c r="K73" i="1"/>
  <c r="K74" i="1" l="1"/>
  <c r="K78" i="1"/>
  <c r="K77" i="1"/>
  <c r="K79" i="1" l="1"/>
  <c r="G75" i="1" l="1"/>
  <c r="G76" i="1"/>
  <c r="G73" i="1"/>
  <c r="G72" i="1"/>
  <c r="K89" i="4" l="1"/>
  <c r="K12" i="4"/>
  <c r="K23" i="4" s="1"/>
  <c r="K66" i="4"/>
  <c r="G78" i="1"/>
  <c r="G77" i="1"/>
  <c r="K31" i="4"/>
  <c r="K42" i="4" s="1"/>
  <c r="G74" i="1"/>
  <c r="K28" i="5" l="1"/>
  <c r="K27" i="5"/>
  <c r="K15" i="5" l="1"/>
  <c r="K16" i="5"/>
  <c r="G79" i="1" l="1"/>
  <c r="G36" i="14" l="1"/>
  <c r="G37" i="14"/>
  <c r="I2" i="17" l="1"/>
  <c r="T107" i="17" l="1"/>
  <c r="H107" i="17"/>
  <c r="O107" i="17"/>
  <c r="N107" i="17" l="1"/>
  <c r="G107" i="17"/>
  <c r="U107" i="17" l="1"/>
  <c r="AG107" i="17"/>
  <c r="P107" i="17"/>
  <c r="J107" i="17"/>
  <c r="K107" i="17" l="1"/>
  <c r="L107" i="17" s="1"/>
  <c r="Q107" i="17"/>
  <c r="R107" i="17" s="1"/>
  <c r="O65" i="17" l="1"/>
  <c r="O69" i="17"/>
  <c r="H65" i="17"/>
  <c r="H69" i="17"/>
  <c r="G61" i="1" l="1"/>
  <c r="G55" i="1"/>
  <c r="K35" i="1"/>
  <c r="G35" i="1"/>
  <c r="K34" i="1"/>
  <c r="G34" i="1"/>
  <c r="G60" i="14"/>
  <c r="K59" i="1" l="1"/>
  <c r="G59" i="1"/>
  <c r="G33" i="1" l="1"/>
  <c r="G63" i="1"/>
  <c r="G62" i="1"/>
  <c r="G60" i="1"/>
  <c r="G57" i="1"/>
  <c r="G56" i="1"/>
  <c r="G54" i="1"/>
  <c r="G52" i="1"/>
  <c r="G51" i="1"/>
  <c r="G50" i="1"/>
  <c r="G49" i="1"/>
  <c r="G42" i="1"/>
  <c r="G37" i="1"/>
  <c r="G36" i="1"/>
  <c r="G30" i="1"/>
  <c r="G29" i="1"/>
  <c r="G28" i="1"/>
  <c r="G27" i="1"/>
  <c r="G25" i="1"/>
  <c r="G24" i="1"/>
  <c r="G20" i="1"/>
  <c r="G19" i="1"/>
  <c r="G13" i="1"/>
  <c r="G12" i="1"/>
  <c r="G11" i="1"/>
  <c r="G6" i="1"/>
  <c r="G39" i="1" l="1"/>
  <c r="G40" i="1"/>
  <c r="G14" i="1"/>
  <c r="G17" i="1"/>
  <c r="G43" i="1"/>
  <c r="G15" i="1"/>
  <c r="G18" i="1"/>
  <c r="G44" i="1"/>
  <c r="G32" i="1"/>
  <c r="G51" i="14"/>
  <c r="G61" i="14"/>
  <c r="O32" i="17"/>
  <c r="H32" i="17"/>
  <c r="G62" i="14"/>
  <c r="G7" i="1"/>
  <c r="G9" i="1"/>
  <c r="G66" i="1"/>
  <c r="T69" i="17" l="1"/>
  <c r="G10" i="1"/>
  <c r="G45" i="1"/>
  <c r="G26" i="1"/>
  <c r="G8" i="1"/>
  <c r="G58" i="1"/>
  <c r="G68" i="1"/>
  <c r="G41" i="1"/>
  <c r="G21" i="1"/>
  <c r="O111" i="17"/>
  <c r="H111" i="17"/>
  <c r="G53" i="1"/>
  <c r="T65" i="17"/>
  <c r="T18" i="17"/>
  <c r="G16" i="1"/>
  <c r="G65" i="1"/>
  <c r="H18" i="17"/>
  <c r="H23" i="17" s="1"/>
  <c r="G31" i="1"/>
  <c r="T111" i="17"/>
  <c r="O18" i="17"/>
  <c r="G38" i="1"/>
  <c r="O50" i="17"/>
  <c r="H50" i="17"/>
  <c r="T23" i="17" l="1"/>
  <c r="O23" i="17"/>
  <c r="H34" i="17"/>
  <c r="H105" i="17"/>
  <c r="H108" i="17" s="1"/>
  <c r="H36" i="17"/>
  <c r="H27" i="17"/>
  <c r="G67" i="1"/>
  <c r="G69" i="1"/>
  <c r="T50" i="17"/>
  <c r="T32" i="17"/>
  <c r="O27" i="17" l="1"/>
  <c r="O105" i="17"/>
  <c r="O108" i="17" s="1"/>
  <c r="O34" i="17"/>
  <c r="O36" i="17"/>
  <c r="H106" i="17"/>
  <c r="H37" i="17"/>
  <c r="T105" i="17"/>
  <c r="T108" i="17" s="1"/>
  <c r="T27" i="17"/>
  <c r="T34" i="17"/>
  <c r="T36" i="17"/>
  <c r="H47" i="17"/>
  <c r="H35" i="17"/>
  <c r="H48" i="17" l="1"/>
  <c r="H110" i="17" s="1"/>
  <c r="H52" i="17"/>
  <c r="H53" i="17" s="1"/>
  <c r="H109" i="17"/>
  <c r="T35" i="17"/>
  <c r="T47" i="17"/>
  <c r="T106" i="17"/>
  <c r="T37" i="17"/>
  <c r="O47" i="17"/>
  <c r="O35" i="17"/>
  <c r="O37" i="17"/>
  <c r="O106" i="17"/>
  <c r="O48" i="17" l="1"/>
  <c r="O52" i="17"/>
  <c r="O109" i="17"/>
  <c r="T52" i="17"/>
  <c r="T48" i="17"/>
  <c r="T109" i="17"/>
  <c r="T110" i="17" l="1"/>
  <c r="T53" i="17"/>
  <c r="O53" i="17"/>
  <c r="O110" i="17"/>
  <c r="L13" i="5" l="1"/>
  <c r="G25" i="3"/>
  <c r="G14" i="3"/>
  <c r="G12" i="5" l="1"/>
  <c r="I10" i="5"/>
  <c r="J97" i="17"/>
  <c r="L12" i="5"/>
  <c r="I11" i="5"/>
  <c r="G10" i="5"/>
  <c r="I9" i="5"/>
  <c r="L10" i="5"/>
  <c r="G34" i="3"/>
  <c r="L11" i="5"/>
  <c r="L9" i="5"/>
  <c r="I34" i="3"/>
  <c r="G9" i="5"/>
  <c r="G13" i="5"/>
  <c r="I12" i="5"/>
  <c r="G11" i="5"/>
  <c r="I13" i="5" l="1"/>
  <c r="AH97" i="17"/>
  <c r="AG97" i="17"/>
  <c r="L56" i="4" l="1"/>
  <c r="L54" i="4"/>
  <c r="L53" i="4"/>
  <c r="L51" i="4"/>
  <c r="L50" i="4"/>
  <c r="L49" i="4"/>
  <c r="L48" i="4"/>
  <c r="L11" i="4"/>
  <c r="L10" i="4"/>
  <c r="L9" i="4"/>
  <c r="L22" i="4" l="1"/>
  <c r="L65" i="4"/>
  <c r="L16" i="4"/>
  <c r="L59" i="4"/>
  <c r="L17" i="4"/>
  <c r="L60" i="4"/>
  <c r="L58" i="4"/>
  <c r="L14" i="4"/>
  <c r="L20" i="4"/>
  <c r="E61" i="3"/>
  <c r="L21" i="4"/>
  <c r="L64" i="4"/>
  <c r="L57" i="4"/>
  <c r="E31" i="4"/>
  <c r="L15" i="4"/>
  <c r="L52" i="4"/>
  <c r="E50" i="3"/>
  <c r="E38" i="3"/>
  <c r="E72" i="3" l="1"/>
  <c r="O12" i="1"/>
  <c r="J20" i="17"/>
  <c r="J24" i="17"/>
  <c r="O49" i="1"/>
  <c r="J44" i="17"/>
  <c r="O33" i="1"/>
  <c r="J21" i="17"/>
  <c r="O13" i="1"/>
  <c r="O19" i="1"/>
  <c r="J19" i="17"/>
  <c r="O11" i="1"/>
  <c r="O43" i="1"/>
  <c r="O29" i="1"/>
  <c r="J64" i="17"/>
  <c r="O51" i="1"/>
  <c r="AH99" i="17"/>
  <c r="AG99" i="17"/>
  <c r="O39" i="1"/>
  <c r="J95" i="17"/>
  <c r="E42" i="4"/>
  <c r="O6" i="1"/>
  <c r="O63" i="1"/>
  <c r="J74" i="17"/>
  <c r="E27" i="5"/>
  <c r="E28" i="5"/>
  <c r="O24" i="1"/>
  <c r="E89" i="4"/>
  <c r="J17" i="17"/>
  <c r="O7" i="1"/>
  <c r="O17" i="1"/>
  <c r="O44" i="1"/>
  <c r="J43" i="17"/>
  <c r="O32" i="1"/>
  <c r="O57" i="1"/>
  <c r="O15" i="1"/>
  <c r="O18" i="1"/>
  <c r="O40" i="1"/>
  <c r="AH102" i="17"/>
  <c r="AG102" i="17"/>
  <c r="O36" i="1"/>
  <c r="J68" i="17"/>
  <c r="O56" i="1"/>
  <c r="AH101" i="17"/>
  <c r="AG101" i="17"/>
  <c r="AG98" i="17"/>
  <c r="AH98" i="17"/>
  <c r="J96" i="17"/>
  <c r="O62" i="1"/>
  <c r="J73" i="17"/>
  <c r="O60" i="1"/>
  <c r="L13" i="4"/>
  <c r="E12" i="4"/>
  <c r="J30" i="17"/>
  <c r="O54" i="1"/>
  <c r="E27" i="3"/>
  <c r="E16" i="3"/>
  <c r="L63" i="4"/>
  <c r="O25" i="1"/>
  <c r="AG104" i="17"/>
  <c r="AH104" i="17"/>
  <c r="J39" i="17"/>
  <c r="O28" i="1"/>
  <c r="O14" i="1"/>
  <c r="J51" i="17"/>
  <c r="O42" i="1"/>
  <c r="J67" i="17"/>
  <c r="J31" i="17"/>
  <c r="O55" i="1"/>
  <c r="O9" i="1"/>
  <c r="J63" i="17"/>
  <c r="J26" i="17"/>
  <c r="O52" i="1"/>
  <c r="O61" i="1"/>
  <c r="J72" i="17"/>
  <c r="O20" i="1"/>
  <c r="J62" i="17"/>
  <c r="J25" i="17"/>
  <c r="O50" i="1"/>
  <c r="O35" i="1"/>
  <c r="L14" i="5"/>
  <c r="E15" i="5"/>
  <c r="L15" i="5" s="1"/>
  <c r="E16" i="5"/>
  <c r="J38" i="17"/>
  <c r="O27" i="1"/>
  <c r="O37" i="1"/>
  <c r="O30" i="1"/>
  <c r="O34" i="1"/>
  <c r="AG100" i="17"/>
  <c r="AH100" i="17"/>
  <c r="Q59" i="14" l="1"/>
  <c r="N59" i="14"/>
  <c r="P38" i="17"/>
  <c r="U38" i="17"/>
  <c r="Q54" i="14"/>
  <c r="N54" i="14"/>
  <c r="Q53" i="14"/>
  <c r="N53" i="14"/>
  <c r="N56" i="14"/>
  <c r="Q56" i="14"/>
  <c r="N14" i="14"/>
  <c r="Q14" i="14"/>
  <c r="K36" i="14"/>
  <c r="Q36" i="14"/>
  <c r="N36" i="14"/>
  <c r="P63" i="17"/>
  <c r="U63" i="17"/>
  <c r="AH103" i="17"/>
  <c r="AG103" i="17"/>
  <c r="P16" i="17"/>
  <c r="N18" i="17"/>
  <c r="AH16" i="17"/>
  <c r="AG16" i="17"/>
  <c r="U16" i="17"/>
  <c r="P64" i="17"/>
  <c r="U64" i="17"/>
  <c r="U66" i="17"/>
  <c r="N69" i="17"/>
  <c r="P66" i="17"/>
  <c r="N61" i="14"/>
  <c r="Q61" i="14"/>
  <c r="G18" i="17"/>
  <c r="J16" i="17"/>
  <c r="J29" i="17"/>
  <c r="U30" i="17"/>
  <c r="P30" i="17"/>
  <c r="N13" i="14"/>
  <c r="Q13" i="14"/>
  <c r="U29" i="17"/>
  <c r="P29" i="17"/>
  <c r="O65" i="1"/>
  <c r="J76" i="17"/>
  <c r="Q27" i="14"/>
  <c r="N27" i="14"/>
  <c r="AG40" i="17"/>
  <c r="AH40" i="17"/>
  <c r="U40" i="17"/>
  <c r="P40" i="17"/>
  <c r="N23" i="14"/>
  <c r="Q23" i="14"/>
  <c r="N48" i="14"/>
  <c r="Q48" i="14"/>
  <c r="O53" i="1"/>
  <c r="N31" i="14"/>
  <c r="Q31" i="14"/>
  <c r="J61" i="17"/>
  <c r="G65" i="17"/>
  <c r="J65" i="17" s="1"/>
  <c r="N28" i="14"/>
  <c r="Q28" i="14"/>
  <c r="Q24" i="14"/>
  <c r="N24" i="14"/>
  <c r="AG46" i="17"/>
  <c r="R46" i="17"/>
  <c r="U46" i="17"/>
  <c r="AH46" i="17"/>
  <c r="P46" i="17"/>
  <c r="AH95" i="17"/>
  <c r="AG95" i="17"/>
  <c r="N32" i="14"/>
  <c r="Q32" i="14"/>
  <c r="P43" i="17"/>
  <c r="U43" i="17"/>
  <c r="U51" i="17"/>
  <c r="AG51" i="17"/>
  <c r="AH51" i="17"/>
  <c r="P51" i="17"/>
  <c r="N39" i="14"/>
  <c r="Q39" i="14"/>
  <c r="Q37" i="14"/>
  <c r="N37" i="14"/>
  <c r="K37" i="14"/>
  <c r="N19" i="14"/>
  <c r="Q19" i="14"/>
  <c r="N34" i="14"/>
  <c r="Q34" i="14"/>
  <c r="N40" i="14"/>
  <c r="Q40" i="14"/>
  <c r="Q43" i="14"/>
  <c r="N43" i="14"/>
  <c r="N18" i="14"/>
  <c r="Q18" i="14"/>
  <c r="N42" i="14"/>
  <c r="Q42" i="14"/>
  <c r="P73" i="17"/>
  <c r="U73" i="17"/>
  <c r="U41" i="17"/>
  <c r="P41" i="17"/>
  <c r="P26" i="17"/>
  <c r="U26" i="17"/>
  <c r="Q15" i="14"/>
  <c r="N15" i="14"/>
  <c r="AH96" i="17"/>
  <c r="AG96" i="17"/>
  <c r="P96" i="17"/>
  <c r="O59" i="1"/>
  <c r="N41" i="14"/>
  <c r="Q41" i="14"/>
  <c r="U24" i="17"/>
  <c r="P24" i="17"/>
  <c r="N38" i="14"/>
  <c r="Q38" i="14"/>
  <c r="L46" i="17"/>
  <c r="J46" i="17"/>
  <c r="G69" i="17"/>
  <c r="J66" i="17"/>
  <c r="J70" i="17"/>
  <c r="O58" i="1"/>
  <c r="P72" i="17"/>
  <c r="U72" i="17"/>
  <c r="N44" i="14"/>
  <c r="Q44" i="14"/>
  <c r="P49" i="17"/>
  <c r="U49" i="17"/>
  <c r="N65" i="17"/>
  <c r="P61" i="17"/>
  <c r="U61" i="17"/>
  <c r="L12" i="4"/>
  <c r="U50" i="17"/>
  <c r="AH50" i="17"/>
  <c r="AG50" i="17"/>
  <c r="P50" i="17"/>
  <c r="Q62" i="14"/>
  <c r="N62" i="14"/>
  <c r="J49" i="17"/>
  <c r="P21" i="17"/>
  <c r="AH21" i="17"/>
  <c r="AG21" i="17"/>
  <c r="U21" i="17"/>
  <c r="Q22" i="14"/>
  <c r="N22" i="14"/>
  <c r="N21" i="14"/>
  <c r="Q21" i="14"/>
  <c r="P74" i="17"/>
  <c r="U74" i="17"/>
  <c r="U67" i="17"/>
  <c r="P67" i="17"/>
  <c r="Q55" i="14"/>
  <c r="N55" i="14"/>
  <c r="Q35" i="14"/>
  <c r="N35" i="14"/>
  <c r="Q60" i="14"/>
  <c r="N60" i="14"/>
  <c r="P25" i="17"/>
  <c r="U25" i="17"/>
  <c r="N16" i="14"/>
  <c r="Q16" i="14"/>
  <c r="Q50" i="14"/>
  <c r="N50" i="14"/>
  <c r="U19" i="17"/>
  <c r="AG19" i="17"/>
  <c r="AH19" i="17"/>
  <c r="P19" i="17"/>
  <c r="AH44" i="17"/>
  <c r="AG44" i="17"/>
  <c r="U44" i="17"/>
  <c r="P44" i="17"/>
  <c r="N17" i="14"/>
  <c r="Q17" i="14"/>
  <c r="N29" i="14"/>
  <c r="Q29" i="14"/>
  <c r="Q30" i="14"/>
  <c r="N30" i="14"/>
  <c r="U62" i="17"/>
  <c r="P62" i="17"/>
  <c r="L45" i="17"/>
  <c r="J45" i="17"/>
  <c r="N49" i="14"/>
  <c r="Q49" i="14"/>
  <c r="P39" i="17"/>
  <c r="U39" i="17"/>
  <c r="AG39" i="17"/>
  <c r="AH39" i="17"/>
  <c r="N20" i="14"/>
  <c r="Q20" i="14"/>
  <c r="P45" i="17"/>
  <c r="R45" i="17"/>
  <c r="U45" i="17"/>
  <c r="Q51" i="14"/>
  <c r="N51" i="14"/>
  <c r="U31" i="17"/>
  <c r="P31" i="17"/>
  <c r="P68" i="17"/>
  <c r="U68" i="17"/>
  <c r="U17" i="17"/>
  <c r="AG17" i="17"/>
  <c r="AH17" i="17"/>
  <c r="P17" i="17"/>
  <c r="U20" i="17"/>
  <c r="P20" i="17"/>
  <c r="U69" i="17" l="1"/>
  <c r="P69" i="17"/>
  <c r="L71" i="17"/>
  <c r="J71" i="17"/>
  <c r="U65" i="17"/>
  <c r="P65" i="17"/>
  <c r="P71" i="17"/>
  <c r="R71" i="17"/>
  <c r="U71" i="17"/>
  <c r="P70" i="17"/>
  <c r="U70" i="17"/>
  <c r="Q57" i="14"/>
  <c r="N57" i="14"/>
  <c r="O69" i="1"/>
  <c r="J80" i="17"/>
  <c r="K58" i="14"/>
  <c r="Q58" i="14"/>
  <c r="N58" i="14"/>
  <c r="J69" i="17"/>
  <c r="AH18" i="17"/>
  <c r="N23" i="17"/>
  <c r="AG18" i="17"/>
  <c r="P18" i="17"/>
  <c r="U18" i="17"/>
  <c r="O67" i="1"/>
  <c r="J78" i="17"/>
  <c r="P76" i="17"/>
  <c r="U76" i="17"/>
  <c r="K2" i="17"/>
  <c r="L2" i="17" s="1"/>
  <c r="J18" i="17"/>
  <c r="G23" i="17"/>
  <c r="Q52" i="14"/>
  <c r="N52" i="14"/>
  <c r="Q64" i="14"/>
  <c r="N64" i="14"/>
  <c r="O8" i="1"/>
  <c r="L55" i="4"/>
  <c r="G36" i="17" l="1"/>
  <c r="J36" i="17" s="1"/>
  <c r="G34" i="17"/>
  <c r="G27" i="17"/>
  <c r="J23" i="17"/>
  <c r="G105" i="17"/>
  <c r="G2" i="17"/>
  <c r="J2" i="17" s="1"/>
  <c r="Q66" i="14"/>
  <c r="N66" i="14"/>
  <c r="H2" i="17"/>
  <c r="U78" i="17"/>
  <c r="P78" i="17"/>
  <c r="U80" i="17"/>
  <c r="P80" i="17"/>
  <c r="Q68" i="14"/>
  <c r="N68" i="14"/>
  <c r="L62" i="4"/>
  <c r="U23" i="17"/>
  <c r="N105" i="17"/>
  <c r="N34" i="17"/>
  <c r="P23" i="17"/>
  <c r="N36" i="17"/>
  <c r="N27" i="17"/>
  <c r="O10" i="1"/>
  <c r="O45" i="1"/>
  <c r="P36" i="17" l="1"/>
  <c r="U36" i="17"/>
  <c r="AG27" i="17"/>
  <c r="P27" i="17"/>
  <c r="N4" i="17"/>
  <c r="U27" i="17"/>
  <c r="AH27" i="17"/>
  <c r="O66" i="1"/>
  <c r="O31" i="1"/>
  <c r="U34" i="17"/>
  <c r="P34" i="17"/>
  <c r="N35" i="17"/>
  <c r="U105" i="17"/>
  <c r="P105" i="17"/>
  <c r="N108" i="17"/>
  <c r="G108" i="17"/>
  <c r="J108" i="17" s="1"/>
  <c r="J105" i="17"/>
  <c r="O68" i="1"/>
  <c r="G4" i="17"/>
  <c r="J27" i="17"/>
  <c r="L18" i="4"/>
  <c r="E23" i="4"/>
  <c r="L19" i="4"/>
  <c r="J34" i="17"/>
  <c r="G35" i="17"/>
  <c r="O26" i="1"/>
  <c r="O21" i="1"/>
  <c r="O16" i="1"/>
  <c r="O41" i="1"/>
  <c r="J77" i="17" l="1"/>
  <c r="G32" i="17"/>
  <c r="AH35" i="17"/>
  <c r="U35" i="17"/>
  <c r="AG35" i="17"/>
  <c r="P35" i="17"/>
  <c r="J35" i="17"/>
  <c r="G50" i="17"/>
  <c r="J79" i="17"/>
  <c r="P79" i="17"/>
  <c r="U79" i="17"/>
  <c r="Q67" i="14"/>
  <c r="N67" i="14"/>
  <c r="G47" i="17"/>
  <c r="J42" i="17"/>
  <c r="G111" i="17"/>
  <c r="J111" i="17" s="1"/>
  <c r="N47" i="17"/>
  <c r="P42" i="17"/>
  <c r="AG42" i="17"/>
  <c r="U42" i="17"/>
  <c r="AH42" i="17"/>
  <c r="N111" i="17"/>
  <c r="N33" i="14"/>
  <c r="Q33" i="14"/>
  <c r="P108" i="17"/>
  <c r="U108" i="17"/>
  <c r="AG108" i="17"/>
  <c r="N32" i="17"/>
  <c r="P77" i="17"/>
  <c r="U77" i="17"/>
  <c r="E66" i="4"/>
  <c r="L61" i="4"/>
  <c r="N65" i="14"/>
  <c r="Q65" i="14"/>
  <c r="J50" i="17" l="1"/>
  <c r="U111" i="17"/>
  <c r="AG111" i="17"/>
  <c r="P111" i="17"/>
  <c r="N109" i="17"/>
  <c r="P47" i="17"/>
  <c r="N48" i="17"/>
  <c r="U47" i="17"/>
  <c r="N52" i="17"/>
  <c r="AH32" i="17"/>
  <c r="AG32" i="17"/>
  <c r="U32" i="17"/>
  <c r="P32" i="17"/>
  <c r="N106" i="17"/>
  <c r="N37" i="17"/>
  <c r="G52" i="17"/>
  <c r="G48" i="17"/>
  <c r="J47" i="17"/>
  <c r="G109" i="17"/>
  <c r="J109" i="17" s="1"/>
  <c r="J32" i="17"/>
  <c r="G106" i="17"/>
  <c r="G37" i="17"/>
  <c r="G5" i="17" s="1"/>
  <c r="O38" i="1"/>
  <c r="AG52" i="17" l="1"/>
  <c r="N53" i="17"/>
  <c r="AH52" i="17"/>
  <c r="P52" i="17"/>
  <c r="U52" i="17"/>
  <c r="P48" i="17"/>
  <c r="AG48" i="17"/>
  <c r="U48" i="17"/>
  <c r="AH48" i="17"/>
  <c r="N110" i="17"/>
  <c r="J48" i="17"/>
  <c r="J52" i="17"/>
  <c r="G53" i="17"/>
  <c r="P109" i="17"/>
  <c r="U109" i="17"/>
  <c r="N5" i="17"/>
  <c r="P37" i="17"/>
  <c r="U37" i="17"/>
  <c r="AG37" i="17"/>
  <c r="P106" i="17"/>
  <c r="U106" i="17"/>
  <c r="AG106" i="17"/>
  <c r="J37" i="17"/>
  <c r="J106" i="17"/>
  <c r="G110" i="17"/>
  <c r="J110" i="17" s="1"/>
  <c r="AG110" i="17" l="1"/>
  <c r="P110" i="17"/>
  <c r="U110" i="17"/>
  <c r="J53" i="17"/>
  <c r="AG53" i="17"/>
  <c r="AH53" i="17"/>
  <c r="U53" i="17"/>
  <c r="P53" i="17"/>
  <c r="E28" i="13" l="1"/>
  <c r="F28" i="13"/>
  <c r="H28" i="13"/>
  <c r="J28" i="13"/>
  <c r="J15" i="13" l="1"/>
  <c r="I28" i="13"/>
  <c r="G28" i="13"/>
  <c r="L28" i="13"/>
  <c r="K28" i="13"/>
  <c r="F15" i="13"/>
  <c r="H15" i="13"/>
  <c r="F14" i="13" l="1"/>
  <c r="H14" i="13"/>
  <c r="J14" i="13"/>
  <c r="I15" i="13"/>
  <c r="G15" i="13"/>
  <c r="K15" i="13"/>
  <c r="L15" i="13"/>
  <c r="I14" i="13" l="1"/>
  <c r="G14" i="13"/>
  <c r="K14" i="13"/>
  <c r="L14" i="13"/>
  <c r="G35" i="14" l="1"/>
  <c r="G66" i="14" l="1"/>
  <c r="G59" i="14" l="1"/>
  <c r="G13" i="14" l="1"/>
  <c r="K29" i="1" l="1"/>
  <c r="K31" i="14"/>
  <c r="K12" i="1"/>
  <c r="K17" i="14"/>
  <c r="L20" i="17"/>
  <c r="R20" i="17"/>
  <c r="K25" i="1"/>
  <c r="K28" i="14"/>
  <c r="K14" i="1"/>
  <c r="K19" i="14"/>
  <c r="R39" i="17"/>
  <c r="L39" i="17"/>
  <c r="K28" i="1"/>
  <c r="K30" i="14"/>
  <c r="K32" i="14"/>
  <c r="K30" i="1"/>
  <c r="K17" i="1"/>
  <c r="K21" i="14"/>
  <c r="K34" i="14"/>
  <c r="L43" i="17"/>
  <c r="R43" i="17"/>
  <c r="K32" i="1"/>
  <c r="K7" i="1"/>
  <c r="K14" i="14"/>
  <c r="R17" i="17"/>
  <c r="L17" i="17"/>
  <c r="L21" i="17"/>
  <c r="R21" i="17"/>
  <c r="K13" i="1"/>
  <c r="K18" i="14"/>
  <c r="K36" i="1"/>
  <c r="K38" i="14"/>
  <c r="K18" i="1"/>
  <c r="K22" i="14"/>
  <c r="K15" i="1"/>
  <c r="K20" i="14"/>
  <c r="K39" i="1"/>
  <c r="K40" i="14"/>
  <c r="K33" i="1"/>
  <c r="L44" i="17"/>
  <c r="R44" i="17"/>
  <c r="K35" i="14"/>
  <c r="L19" i="17"/>
  <c r="K11" i="1"/>
  <c r="K16" i="14"/>
  <c r="R19" i="17"/>
  <c r="R51" i="17"/>
  <c r="L51" i="17"/>
  <c r="K42" i="1"/>
  <c r="K42" i="14"/>
  <c r="K37" i="1"/>
  <c r="K39" i="14"/>
  <c r="K9" i="1"/>
  <c r="K15" i="14"/>
  <c r="K44" i="1"/>
  <c r="K44" i="14"/>
  <c r="K20" i="1"/>
  <c r="K24" i="14"/>
  <c r="K40" i="1"/>
  <c r="K41" i="14"/>
  <c r="L73" i="17"/>
  <c r="K62" i="1"/>
  <c r="K61" i="14"/>
  <c r="R73" i="17"/>
  <c r="K6" i="1"/>
  <c r="K13" i="14"/>
  <c r="L62" i="17"/>
  <c r="R62" i="17"/>
  <c r="R25" i="17"/>
  <c r="L25" i="17"/>
  <c r="K50" i="1"/>
  <c r="K49" i="14"/>
  <c r="K43" i="14"/>
  <c r="K43" i="1"/>
  <c r="R64" i="17"/>
  <c r="K51" i="1"/>
  <c r="K50" i="14"/>
  <c r="L64" i="17"/>
  <c r="R67" i="17"/>
  <c r="R31" i="17"/>
  <c r="L31" i="17"/>
  <c r="L67" i="17"/>
  <c r="K55" i="1"/>
  <c r="K54" i="14"/>
  <c r="L30" i="17"/>
  <c r="R30" i="17"/>
  <c r="K54" i="1"/>
  <c r="K53" i="14"/>
  <c r="R72" i="17"/>
  <c r="K60" i="14"/>
  <c r="L72" i="17"/>
  <c r="K61" i="1"/>
  <c r="K27" i="1"/>
  <c r="L38" i="17"/>
  <c r="K29" i="14"/>
  <c r="R38" i="17"/>
  <c r="L24" i="17"/>
  <c r="R24" i="17"/>
  <c r="K49" i="1"/>
  <c r="K48" i="14"/>
  <c r="K56" i="14"/>
  <c r="K57" i="1"/>
  <c r="K19" i="1"/>
  <c r="K23" i="14"/>
  <c r="K55" i="14"/>
  <c r="L68" i="17"/>
  <c r="R68" i="17"/>
  <c r="K56" i="1"/>
  <c r="R26" i="17"/>
  <c r="R63" i="17"/>
  <c r="L63" i="17"/>
  <c r="K52" i="1"/>
  <c r="K51" i="14"/>
  <c r="L26" i="17"/>
  <c r="K63" i="1"/>
  <c r="L74" i="17"/>
  <c r="R74" i="17"/>
  <c r="K62" i="14"/>
  <c r="K24" i="1"/>
  <c r="K27" i="14"/>
  <c r="K59" i="14"/>
  <c r="K60" i="1"/>
  <c r="R79" i="17" l="1"/>
  <c r="L79" i="17"/>
  <c r="K68" i="1"/>
  <c r="K67" i="14"/>
  <c r="K57" i="14"/>
  <c r="K58" i="1"/>
  <c r="R70" i="17"/>
  <c r="L70" i="17"/>
  <c r="L29" i="17"/>
  <c r="Q69" i="17"/>
  <c r="R69" i="17" s="1"/>
  <c r="R66" i="17"/>
  <c r="K38" i="1"/>
  <c r="R49" i="17"/>
  <c r="K8" i="1"/>
  <c r="R29" i="17"/>
  <c r="Q18" i="17"/>
  <c r="R16" i="17"/>
  <c r="K52" i="14"/>
  <c r="K53" i="1"/>
  <c r="K45" i="1"/>
  <c r="K26" i="1"/>
  <c r="K10" i="1"/>
  <c r="K41" i="1"/>
  <c r="K21" i="1"/>
  <c r="Q65" i="17"/>
  <c r="R65" i="17" s="1"/>
  <c r="R61" i="17"/>
  <c r="K66" i="1"/>
  <c r="L77" i="17"/>
  <c r="K65" i="14"/>
  <c r="R77" i="17"/>
  <c r="K65" i="17"/>
  <c r="L65" i="17" s="1"/>
  <c r="L61" i="17"/>
  <c r="K69" i="17"/>
  <c r="L69" i="17" s="1"/>
  <c r="L66" i="17"/>
  <c r="K33" i="14"/>
  <c r="K31" i="1"/>
  <c r="K16" i="1"/>
  <c r="K18" i="17"/>
  <c r="L16" i="17"/>
  <c r="K64" i="14"/>
  <c r="K65" i="1"/>
  <c r="L76" i="17"/>
  <c r="R76" i="17"/>
  <c r="L49" i="17"/>
  <c r="K50" i="17"/>
  <c r="K23" i="17" l="1"/>
  <c r="L18" i="17"/>
  <c r="K32" i="17"/>
  <c r="L32" i="17" s="1"/>
  <c r="L80" i="17"/>
  <c r="K69" i="1"/>
  <c r="R80" i="17"/>
  <c r="K68" i="14"/>
  <c r="Q23" i="17"/>
  <c r="R18" i="17"/>
  <c r="L78" i="17"/>
  <c r="K67" i="1"/>
  <c r="R78" i="17"/>
  <c r="K66" i="14"/>
  <c r="Q32" i="17"/>
  <c r="R32" i="17" s="1"/>
  <c r="L50" i="17"/>
  <c r="Q111" i="17"/>
  <c r="R111" i="17" s="1"/>
  <c r="R42" i="17"/>
  <c r="K111" i="17"/>
  <c r="L111" i="17" s="1"/>
  <c r="L42" i="17"/>
  <c r="Q50" i="17"/>
  <c r="R50" i="17" l="1"/>
  <c r="Q105" i="17"/>
  <c r="Q27" i="17"/>
  <c r="Q36" i="17"/>
  <c r="R36" i="17" s="1"/>
  <c r="Q34" i="17"/>
  <c r="R23" i="17"/>
  <c r="K27" i="17"/>
  <c r="K36" i="17"/>
  <c r="L36" i="17" s="1"/>
  <c r="K34" i="17"/>
  <c r="K105" i="17"/>
  <c r="L23" i="17"/>
  <c r="K108" i="17" l="1"/>
  <c r="L108" i="17" s="1"/>
  <c r="L105" i="17"/>
  <c r="K47" i="17"/>
  <c r="K35" i="17"/>
  <c r="L35" i="17" s="1"/>
  <c r="L34" i="17"/>
  <c r="K106" i="17"/>
  <c r="L106" i="17" s="1"/>
  <c r="K37" i="17"/>
  <c r="L37" i="17" s="1"/>
  <c r="L27" i="17"/>
  <c r="Q35" i="17"/>
  <c r="R35" i="17" s="1"/>
  <c r="Q47" i="17"/>
  <c r="R34" i="17"/>
  <c r="Q37" i="17"/>
  <c r="R37" i="17" s="1"/>
  <c r="Q106" i="17"/>
  <c r="R106" i="17" s="1"/>
  <c r="R27" i="17"/>
  <c r="Q108" i="17"/>
  <c r="R108" i="17" s="1"/>
  <c r="R105" i="17"/>
  <c r="Q48" i="17" l="1"/>
  <c r="Q52" i="17"/>
  <c r="R47" i="17"/>
  <c r="Q109" i="17"/>
  <c r="R109" i="17" s="1"/>
  <c r="K52" i="17"/>
  <c r="K48" i="17"/>
  <c r="L47" i="17"/>
  <c r="K109" i="17"/>
  <c r="L109" i="17" s="1"/>
  <c r="K53" i="17" l="1"/>
  <c r="L53" i="17" s="1"/>
  <c r="L52" i="17"/>
  <c r="Q53" i="17"/>
  <c r="R53" i="17" s="1"/>
  <c r="R52" i="17"/>
  <c r="L48" i="17"/>
  <c r="K110" i="17"/>
  <c r="L110" i="17" s="1"/>
  <c r="R48" i="17"/>
  <c r="Q110" i="17"/>
  <c r="R110" i="17" s="1"/>
  <c r="O72" i="3" l="1"/>
  <c r="I48" i="4"/>
  <c r="G20" i="3"/>
  <c r="AF61" i="3"/>
  <c r="AC72" i="3"/>
  <c r="AG27" i="5"/>
  <c r="AD50" i="3"/>
  <c r="S72" i="3"/>
  <c r="AE72" i="3"/>
  <c r="AF72" i="3"/>
  <c r="O27" i="3"/>
  <c r="G24" i="3"/>
  <c r="I21" i="4"/>
  <c r="I64" i="4"/>
  <c r="N50" i="3"/>
  <c r="AG16" i="3"/>
  <c r="T72" i="3"/>
  <c r="S27" i="3"/>
  <c r="AG27" i="3"/>
  <c r="G64" i="4"/>
  <c r="G21" i="4"/>
  <c r="G31" i="3"/>
  <c r="G57" i="4"/>
  <c r="G50" i="4"/>
  <c r="V27" i="5"/>
  <c r="S50" i="3"/>
  <c r="AF27" i="5"/>
  <c r="AC50" i="3"/>
  <c r="G49" i="4"/>
  <c r="N72" i="3"/>
  <c r="I22" i="3"/>
  <c r="G11" i="4"/>
  <c r="G17" i="4"/>
  <c r="G60" i="4"/>
  <c r="I16" i="4"/>
  <c r="I59" i="4"/>
  <c r="G54" i="4"/>
  <c r="I53" i="4"/>
  <c r="S61" i="3"/>
  <c r="T61" i="3"/>
  <c r="AB27" i="5"/>
  <c r="Y50" i="3"/>
  <c r="AE16" i="3"/>
  <c r="I31" i="3"/>
  <c r="G33" i="3"/>
  <c r="G11" i="3"/>
  <c r="I56" i="4"/>
  <c r="V61" i="3"/>
  <c r="AA61" i="3"/>
  <c r="AB61" i="3"/>
  <c r="G16" i="4"/>
  <c r="G59" i="4"/>
  <c r="P72" i="3"/>
  <c r="I9" i="4"/>
  <c r="I14" i="4"/>
  <c r="I58" i="4"/>
  <c r="G15" i="4"/>
  <c r="G52" i="4"/>
  <c r="M61" i="3"/>
  <c r="G14" i="4"/>
  <c r="G58" i="4"/>
  <c r="I17" i="4"/>
  <c r="I60" i="4"/>
  <c r="Y27" i="5"/>
  <c r="V50" i="3"/>
  <c r="V72" i="3"/>
  <c r="W50" i="3"/>
  <c r="Z27" i="5"/>
  <c r="W72" i="3"/>
  <c r="X72" i="3"/>
  <c r="AE61" i="3"/>
  <c r="AD72" i="3"/>
  <c r="M72" i="3"/>
  <c r="G51" i="4"/>
  <c r="G53" i="4"/>
  <c r="I13" i="3"/>
  <c r="I51" i="4"/>
  <c r="U72" i="3"/>
  <c r="U16" i="3"/>
  <c r="AG72" i="3"/>
  <c r="G10" i="3"/>
  <c r="I9" i="3"/>
  <c r="I10" i="4"/>
  <c r="I24" i="3"/>
  <c r="G48" i="4"/>
  <c r="P61" i="3"/>
  <c r="M27" i="3"/>
  <c r="I18" i="4"/>
  <c r="I61" i="4"/>
  <c r="AA27" i="5"/>
  <c r="X50" i="3"/>
  <c r="W27" i="3"/>
  <c r="AE27" i="3"/>
  <c r="G9" i="3"/>
  <c r="I50" i="4"/>
  <c r="G22" i="3"/>
  <c r="M38" i="3"/>
  <c r="T15" i="5"/>
  <c r="I52" i="4"/>
  <c r="I15" i="4"/>
  <c r="G10" i="4"/>
  <c r="G21" i="3"/>
  <c r="G13" i="3"/>
  <c r="F72" i="3"/>
  <c r="G35" i="3"/>
  <c r="G9" i="4"/>
  <c r="Y72" i="3"/>
  <c r="X61" i="3"/>
  <c r="Y61" i="3"/>
  <c r="X27" i="5"/>
  <c r="U50" i="3"/>
  <c r="P38" i="3"/>
  <c r="V38" i="3"/>
  <c r="AI27" i="5"/>
  <c r="AF50" i="3"/>
  <c r="AE27" i="5"/>
  <c r="AB50" i="3"/>
  <c r="I65" i="4"/>
  <c r="I22" i="4"/>
  <c r="I49" i="4"/>
  <c r="I33" i="3"/>
  <c r="W61" i="3"/>
  <c r="Q38" i="3"/>
  <c r="AA72" i="3"/>
  <c r="AA16" i="3"/>
  <c r="G36" i="3"/>
  <c r="I35" i="3"/>
  <c r="W27" i="5"/>
  <c r="T50" i="3"/>
  <c r="X38" i="3"/>
  <c r="AH27" i="5"/>
  <c r="AE50" i="3"/>
  <c r="I25" i="3"/>
  <c r="I14" i="3"/>
  <c r="Y16" i="3"/>
  <c r="AD61" i="3"/>
  <c r="I57" i="4"/>
  <c r="M16" i="3"/>
  <c r="G32" i="3"/>
  <c r="N38" i="3"/>
  <c r="G65" i="4"/>
  <c r="G22" i="4"/>
  <c r="O61" i="3"/>
  <c r="I54" i="4"/>
  <c r="I11" i="4"/>
  <c r="O16" i="3"/>
  <c r="Q61" i="3"/>
  <c r="G61" i="4"/>
  <c r="G18" i="4"/>
  <c r="Q31" i="4"/>
  <c r="I11" i="3"/>
  <c r="K72" i="3"/>
  <c r="G56" i="4"/>
  <c r="S16" i="3"/>
  <c r="AF31" i="4"/>
  <c r="AA50" i="3"/>
  <c r="I20" i="3"/>
  <c r="L72" i="3"/>
  <c r="R31" i="4"/>
  <c r="R42" i="4" s="1"/>
  <c r="S31" i="4"/>
  <c r="S42" i="4" s="1"/>
  <c r="AJ27" i="5"/>
  <c r="AG50" i="3"/>
  <c r="I36" i="3"/>
  <c r="U95" i="17"/>
  <c r="U61" i="3" l="1"/>
  <c r="Q16" i="3"/>
  <c r="I10" i="3"/>
  <c r="I21" i="3"/>
  <c r="AC27" i="3"/>
  <c r="R38" i="3"/>
  <c r="F89" i="4"/>
  <c r="K61" i="3"/>
  <c r="N12" i="4"/>
  <c r="W31" i="4"/>
  <c r="V12" i="4"/>
  <c r="V31" i="4"/>
  <c r="T31" i="4"/>
  <c r="I55" i="4"/>
  <c r="AF42" i="4"/>
  <c r="AF89" i="4"/>
  <c r="I14" i="5"/>
  <c r="H16" i="5"/>
  <c r="H15" i="5"/>
  <c r="I15" i="5" s="1"/>
  <c r="G63" i="4"/>
  <c r="AG31" i="4"/>
  <c r="O31" i="4"/>
  <c r="AF15" i="5"/>
  <c r="AF16" i="5"/>
  <c r="X16" i="5"/>
  <c r="X15" i="5"/>
  <c r="Y31" i="4"/>
  <c r="L61" i="3"/>
  <c r="O27" i="5"/>
  <c r="O28" i="5"/>
  <c r="K27" i="3"/>
  <c r="L96" i="17"/>
  <c r="R96" i="17"/>
  <c r="G55" i="4"/>
  <c r="Z66" i="4"/>
  <c r="Y89" i="4"/>
  <c r="K16" i="3"/>
  <c r="AF12" i="4"/>
  <c r="AE31" i="4"/>
  <c r="S38" i="3"/>
  <c r="N31" i="4"/>
  <c r="N42" i="4" s="1"/>
  <c r="AG61" i="3"/>
  <c r="AA31" i="4"/>
  <c r="V89" i="4"/>
  <c r="Z12" i="4"/>
  <c r="Q42" i="4"/>
  <c r="AB12" i="4"/>
  <c r="G14" i="5"/>
  <c r="F16" i="5"/>
  <c r="F15" i="5"/>
  <c r="G15" i="5" s="1"/>
  <c r="H31" i="4"/>
  <c r="H42" i="4" s="1"/>
  <c r="U27" i="3"/>
  <c r="L50" i="3"/>
  <c r="AB31" i="4"/>
  <c r="F61" i="3"/>
  <c r="AB66" i="4"/>
  <c r="X89" i="4"/>
  <c r="H12" i="4"/>
  <c r="I12" i="4" s="1"/>
  <c r="I13" i="4"/>
  <c r="K38" i="3"/>
  <c r="X31" i="4"/>
  <c r="X42" i="4" s="1"/>
  <c r="P50" i="3"/>
  <c r="H50" i="3"/>
  <c r="Q50" i="3"/>
  <c r="AD12" i="4"/>
  <c r="AH66" i="4"/>
  <c r="AA89" i="4"/>
  <c r="G62" i="4"/>
  <c r="G19" i="4"/>
  <c r="T66" i="4"/>
  <c r="G12" i="3"/>
  <c r="AD23" i="4"/>
  <c r="AD66" i="4"/>
  <c r="F27" i="5"/>
  <c r="F28" i="5"/>
  <c r="P31" i="4"/>
  <c r="P42" i="4" s="1"/>
  <c r="N61" i="3"/>
  <c r="AH15" i="5"/>
  <c r="AH16" i="5"/>
  <c r="S89" i="4"/>
  <c r="T12" i="4"/>
  <c r="T23" i="4" s="1"/>
  <c r="Q27" i="3"/>
  <c r="AH12" i="4"/>
  <c r="AH23" i="4" s="1"/>
  <c r="X66" i="4"/>
  <c r="AG42" i="4"/>
  <c r="AG89" i="4"/>
  <c r="F50" i="3"/>
  <c r="AJ31" i="4"/>
  <c r="F27" i="3"/>
  <c r="G26" i="3"/>
  <c r="W38" i="3"/>
  <c r="R28" i="5"/>
  <c r="R27" i="5"/>
  <c r="T42" i="4"/>
  <c r="AI31" i="4"/>
  <c r="S27" i="5"/>
  <c r="S28" i="5"/>
  <c r="AB72" i="3"/>
  <c r="F12" i="4"/>
  <c r="G12" i="4" s="1"/>
  <c r="G13" i="4"/>
  <c r="Q89" i="4"/>
  <c r="O50" i="3"/>
  <c r="Y42" i="4"/>
  <c r="T89" i="4"/>
  <c r="AJ12" i="4"/>
  <c r="AJ66" i="4"/>
  <c r="Z89" i="4"/>
  <c r="G23" i="3"/>
  <c r="M50" i="3"/>
  <c r="Z31" i="4"/>
  <c r="K50" i="3"/>
  <c r="AC61" i="3"/>
  <c r="Q27" i="5"/>
  <c r="Q28" i="5"/>
  <c r="T28" i="5"/>
  <c r="T27" i="5"/>
  <c r="R89" i="4"/>
  <c r="P66" i="4"/>
  <c r="AJ89" i="4"/>
  <c r="AB16" i="5"/>
  <c r="AB15" i="5"/>
  <c r="AD16" i="5"/>
  <c r="AD15" i="5"/>
  <c r="AD31" i="4"/>
  <c r="P89" i="4"/>
  <c r="W16" i="3"/>
  <c r="I32" i="3"/>
  <c r="F31" i="4"/>
  <c r="F42" i="4" s="1"/>
  <c r="AD89" i="4"/>
  <c r="N66" i="4"/>
  <c r="I12" i="3"/>
  <c r="N23" i="4"/>
  <c r="I62" i="4"/>
  <c r="I19" i="4"/>
  <c r="AH89" i="4"/>
  <c r="H16" i="3"/>
  <c r="I15" i="3"/>
  <c r="I16" i="3" s="1"/>
  <c r="P15" i="5"/>
  <c r="P16" i="5"/>
  <c r="N89" i="4"/>
  <c r="Z23" i="4"/>
  <c r="AJ16" i="5"/>
  <c r="AJ15" i="5"/>
  <c r="AA27" i="3"/>
  <c r="I23" i="3"/>
  <c r="AB42" i="4"/>
  <c r="AB89" i="4"/>
  <c r="P27" i="5"/>
  <c r="P28" i="5"/>
  <c r="N27" i="5"/>
  <c r="N28" i="5"/>
  <c r="Q72" i="3"/>
  <c r="AD27" i="5"/>
  <c r="F16" i="3"/>
  <c r="G15" i="3"/>
  <c r="P12" i="4"/>
  <c r="Z15" i="5"/>
  <c r="Z16" i="5"/>
  <c r="H89" i="4"/>
  <c r="H27" i="3"/>
  <c r="I26" i="3"/>
  <c r="W42" i="4"/>
  <c r="W89" i="4"/>
  <c r="AF23" i="4"/>
  <c r="AF66" i="4"/>
  <c r="R66" i="4"/>
  <c r="AI89" i="4"/>
  <c r="H66" i="4"/>
  <c r="I63" i="4"/>
  <c r="F38" i="3"/>
  <c r="G37" i="3"/>
  <c r="AC16" i="3"/>
  <c r="O42" i="4"/>
  <c r="Y27" i="3"/>
  <c r="V23" i="4"/>
  <c r="V66" i="4"/>
  <c r="I20" i="4"/>
  <c r="V16" i="5"/>
  <c r="V15" i="5"/>
  <c r="R16" i="5"/>
  <c r="R15" i="5"/>
  <c r="T16" i="5"/>
  <c r="I37" i="3"/>
  <c r="AH31" i="4"/>
  <c r="AH42" i="4" s="1"/>
  <c r="O89" i="4"/>
  <c r="R95" i="17"/>
  <c r="L95" i="17"/>
  <c r="AE42" i="4"/>
  <c r="AE89" i="4"/>
  <c r="H72" i="3"/>
  <c r="N16" i="5"/>
  <c r="N15" i="5"/>
  <c r="G20" i="4"/>
  <c r="X12" i="4"/>
  <c r="X23" i="4" s="1"/>
  <c r="H61" i="3"/>
  <c r="H27" i="5"/>
  <c r="H28" i="5"/>
  <c r="R12" i="4"/>
  <c r="AH28" i="5"/>
  <c r="AB28" i="5"/>
  <c r="AD28" i="5"/>
  <c r="AG28" i="5"/>
  <c r="AJ28" i="5"/>
  <c r="V28" i="5"/>
  <c r="AA28" i="5"/>
  <c r="Y28" i="5"/>
  <c r="X28" i="5"/>
  <c r="W28" i="5"/>
  <c r="AI28" i="5"/>
  <c r="AF28" i="5"/>
  <c r="Z28" i="5"/>
  <c r="U96" i="17"/>
  <c r="R23" i="4" l="1"/>
  <c r="P23" i="4"/>
  <c r="V42" i="4"/>
  <c r="AA42" i="4"/>
  <c r="AJ23" i="4"/>
  <c r="AD42" i="4"/>
  <c r="F23" i="4"/>
  <c r="AI42" i="4"/>
  <c r="H23" i="4"/>
  <c r="AJ42" i="4"/>
  <c r="H38" i="3"/>
  <c r="P95" i="17"/>
  <c r="AB23" i="4"/>
  <c r="F66" i="4"/>
  <c r="AE28" i="5"/>
  <c r="Z42" i="4"/>
  <c r="G49" i="14" l="1"/>
  <c r="G54" i="14" l="1"/>
  <c r="G53" i="14"/>
  <c r="G55" i="14"/>
  <c r="G21" i="14"/>
  <c r="G22" i="14"/>
  <c r="G16" i="14"/>
  <c r="G40" i="14"/>
  <c r="G50" i="14"/>
  <c r="G48" i="14"/>
  <c r="G42" i="14"/>
  <c r="G14" i="14"/>
  <c r="G64" i="14" l="1"/>
  <c r="G65" i="14"/>
  <c r="G15" i="14"/>
  <c r="G17" i="14"/>
  <c r="G67" i="14"/>
  <c r="G19" i="14" l="1"/>
  <c r="G20" i="14" l="1"/>
  <c r="G56" i="14" l="1"/>
  <c r="G29" i="14" l="1"/>
  <c r="G41" i="14" l="1"/>
  <c r="G52" i="14"/>
  <c r="G23" i="14" l="1"/>
  <c r="G68" i="14"/>
  <c r="G27" i="14" l="1"/>
  <c r="G30" i="14"/>
  <c r="G38" i="14" l="1"/>
  <c r="G18" i="14"/>
  <c r="G43" i="14" l="1"/>
  <c r="G24" i="14"/>
  <c r="G28" i="14" l="1"/>
  <c r="G39" i="14" l="1"/>
  <c r="G44" i="14" l="1"/>
  <c r="G25" i="14" l="1"/>
  <c r="G26" i="14" l="1"/>
  <c r="N25" i="14" l="1"/>
  <c r="K25" i="14" l="1"/>
  <c r="K22" i="1"/>
  <c r="N26" i="14"/>
  <c r="Q25" i="14"/>
  <c r="O22" i="1"/>
  <c r="G22" i="1"/>
  <c r="Q26" i="14" l="1"/>
  <c r="O23" i="1"/>
  <c r="K23" i="1"/>
  <c r="K26" i="14"/>
  <c r="G23" i="1"/>
  <c r="U97" i="17" l="1"/>
  <c r="R97" i="17" l="1"/>
  <c r="L97" i="17"/>
  <c r="P97" i="17" l="1"/>
  <c r="O2" i="17" l="1"/>
  <c r="T2" i="17" l="1"/>
  <c r="U2" i="17" s="1"/>
  <c r="J55" i="17" l="1"/>
  <c r="L55" i="17"/>
  <c r="R55" i="17"/>
  <c r="U55" i="17"/>
  <c r="P55" i="17"/>
  <c r="R56" i="17"/>
  <c r="AH56" i="17"/>
  <c r="AG56" i="17"/>
  <c r="U56" i="17"/>
  <c r="P56" i="17"/>
  <c r="J56" i="17"/>
  <c r="L56" i="17"/>
  <c r="N2" i="17" l="1"/>
  <c r="P2" i="17" s="1"/>
  <c r="Q2" i="17"/>
  <c r="R2"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Cahn Adrien (AMUNDI)</author>
  </authors>
  <commentList>
    <comment ref="E23" authorId="0" shapeId="0" xr:uid="{CDB97870-9188-4913-B488-C2467D645B60}">
      <text>
        <r>
          <rPr>
            <b/>
            <sz val="9"/>
            <color indexed="81"/>
            <rFont val="Tahoma"/>
            <family val="2"/>
          </rPr>
          <t>Cahn Adrien (AMUNDI):</t>
        </r>
        <r>
          <rPr>
            <sz val="9"/>
            <color indexed="81"/>
            <rFont val="Tahoma"/>
            <family val="2"/>
          </rPr>
          <t xml:space="preserve">
Toujours cet écart de 350m comme dans onglet data. Cf point remonté par Nezha. On l'ignore ?</t>
        </r>
      </text>
    </comment>
    <comment ref="E42" authorId="0" shapeId="0" xr:uid="{896FE025-1E0D-4A46-A6A0-F8FA8CC55065}">
      <text>
        <r>
          <rPr>
            <b/>
            <sz val="9"/>
            <color indexed="81"/>
            <rFont val="Tahoma"/>
            <family val="2"/>
          </rPr>
          <t>Cahn Adrien (AMUNDI):</t>
        </r>
        <r>
          <rPr>
            <sz val="9"/>
            <color indexed="81"/>
            <rFont val="Tahoma"/>
            <family val="2"/>
          </rPr>
          <t xml:space="preserve">
Toujours cet écart de 350m comme dans onglet data. Cf point remonté par Nezha. On l'ignore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<sst xmlns="http://schemas.openxmlformats.org/spreadsheetml/2006/main" count="1301" uniqueCount="534">
  <si>
    <t>Assets &amp; flows - by segments</t>
  </si>
  <si>
    <t>Assets &amp; flows - by geographies</t>
  </si>
  <si>
    <t>Shareholding</t>
  </si>
  <si>
    <t>Codes</t>
  </si>
  <si>
    <t>Data as of:</t>
  </si>
  <si>
    <t>Jan</t>
  </si>
  <si>
    <t>Feb</t>
  </si>
  <si>
    <t>Mar</t>
  </si>
  <si>
    <t>Apr</t>
  </si>
  <si>
    <t>May</t>
  </si>
  <si>
    <t>Jun</t>
  </si>
  <si>
    <t>Jul</t>
  </si>
  <si>
    <t>Aug</t>
  </si>
  <si>
    <t>Sep</t>
  </si>
  <si>
    <t>Oct</t>
  </si>
  <si>
    <t>Nov</t>
  </si>
  <si>
    <t>Dec</t>
  </si>
  <si>
    <t xml:space="preserve">Q1 </t>
  </si>
  <si>
    <t xml:space="preserve">H1 </t>
  </si>
  <si>
    <t xml:space="preserve">9M </t>
  </si>
  <si>
    <t xml:space="preserve">FY </t>
  </si>
  <si>
    <t>Dates ref</t>
  </si>
  <si>
    <t>Rev_MgtFees</t>
  </si>
  <si>
    <t>Rev_PerfFees</t>
  </si>
  <si>
    <t>Rev_PerfFees_Norm</t>
  </si>
  <si>
    <t>Rev_AM</t>
  </si>
  <si>
    <t>Rev_AM_Norm</t>
  </si>
  <si>
    <t>Rev_Tech</t>
  </si>
  <si>
    <t>Rev_FinOth</t>
  </si>
  <si>
    <t>Rev_FinOth_Adj</t>
  </si>
  <si>
    <t>Rev</t>
  </si>
  <si>
    <t>Rev_Adj</t>
  </si>
  <si>
    <t>Rev_Adj_Norm</t>
  </si>
  <si>
    <t>Costs_Staff</t>
  </si>
  <si>
    <t>Costs_Others</t>
  </si>
  <si>
    <t>Costs</t>
  </si>
  <si>
    <t>Costs_Adj</t>
  </si>
  <si>
    <t>Costs_Adj_Norm</t>
  </si>
  <si>
    <t>GOI</t>
  </si>
  <si>
    <t>GOI_Adj</t>
  </si>
  <si>
    <t>GOI_Adj_Norm</t>
  </si>
  <si>
    <t>Prov</t>
  </si>
  <si>
    <t>MeQ</t>
  </si>
  <si>
    <t>PBT</t>
  </si>
  <si>
    <t>PBT_Adj</t>
  </si>
  <si>
    <t>PBT_Adj_Norm</t>
  </si>
  <si>
    <t>Tax</t>
  </si>
  <si>
    <t>Tax_Adj</t>
  </si>
  <si>
    <t>Tax_Adj_Norm</t>
  </si>
  <si>
    <t>Minos</t>
  </si>
  <si>
    <t>NetAttribProf</t>
  </si>
  <si>
    <t>NetAttribProf_Adj</t>
  </si>
  <si>
    <t>NetAttribProf_Adj_Norm</t>
  </si>
  <si>
    <t>Rev_Intangible</t>
  </si>
  <si>
    <t>Rev_EarnOut</t>
  </si>
  <si>
    <t>Costs_Integration</t>
  </si>
  <si>
    <t>Tax_TotalAdj</t>
  </si>
  <si>
    <t>Total_Adjustments_Net</t>
  </si>
  <si>
    <t>Rev_ExceptPerfFees</t>
  </si>
  <si>
    <t>Tax_ExceptPerfFees</t>
  </si>
  <si>
    <t>Rev_ExceptPerfFees_Net</t>
  </si>
  <si>
    <t>Costs_Normalisation</t>
  </si>
  <si>
    <t>Tax_NormCosts</t>
  </si>
  <si>
    <t>Costs_Normalisation_Net</t>
  </si>
  <si>
    <t>Tax_TotalNormalisation</t>
  </si>
  <si>
    <t>Adjustments:</t>
  </si>
  <si>
    <t>Total_Normalisation_Net</t>
  </si>
  <si>
    <t>Performance fees</t>
  </si>
  <si>
    <t>Performance fees, normalised</t>
  </si>
  <si>
    <t>Net asset management revenues</t>
  </si>
  <si>
    <t>Net asset management revenues, normalised</t>
  </si>
  <si>
    <t>Amundi Technology revenues</t>
  </si>
  <si>
    <t>Net revenue</t>
  </si>
  <si>
    <t>Net revenue - Adjusted</t>
  </si>
  <si>
    <t>Net revenue - Adjusted, normalised</t>
  </si>
  <si>
    <t>Other operating expenses</t>
  </si>
  <si>
    <t>Operating expenses</t>
  </si>
  <si>
    <t>Operating expenses - Adjusted</t>
  </si>
  <si>
    <t>Operating expenses - Adjusted, normalised</t>
  </si>
  <si>
    <t>Gross operating income</t>
  </si>
  <si>
    <t>Gross operating income - Adjusted</t>
  </si>
  <si>
    <t>Gross operating income - Adjusted, normalised</t>
  </si>
  <si>
    <t>Cost of risk and others</t>
  </si>
  <si>
    <t>Income before tax - Adjusted</t>
  </si>
  <si>
    <t>Income before tax - Adjusted, normalised</t>
  </si>
  <si>
    <t>Corporate tax</t>
  </si>
  <si>
    <t>Corporate tax - Adjusted</t>
  </si>
  <si>
    <t>Corporate tax - Adjusted, normalised</t>
  </si>
  <si>
    <t>Non-controlling interests</t>
  </si>
  <si>
    <t>Net income group share</t>
  </si>
  <si>
    <t>Net income group share - Adjusted</t>
  </si>
  <si>
    <t>Net income group share - Adjusted, normalised</t>
  </si>
  <si>
    <t>IPO / integration costs (bef. tax)</t>
  </si>
  <si>
    <t>Tax on IPO / integration costs</t>
  </si>
  <si>
    <t>IPO / integration costs (net of tax)</t>
  </si>
  <si>
    <t>Performance fees - exceptional level</t>
  </si>
  <si>
    <t>Tax on Exceptional level of perf. fees</t>
  </si>
  <si>
    <t>Performance fees - exceptional level, net of tax</t>
  </si>
  <si>
    <t>Cost normalisation from except. level of perf. fees</t>
  </si>
  <si>
    <t>Tax on cost normalisation</t>
  </si>
  <si>
    <t>Cost normalisation, net of tax</t>
  </si>
  <si>
    <t>Total tax normalisation</t>
  </si>
  <si>
    <t>Total normalisation (net)</t>
  </si>
  <si>
    <t>% YoY ch.</t>
  </si>
  <si>
    <t>% QoQ ch.</t>
  </si>
  <si>
    <t>Normalisation (only for 2021)</t>
  </si>
  <si>
    <t>JVs</t>
  </si>
  <si>
    <t>(€bn)</t>
  </si>
  <si>
    <t>Retail</t>
  </si>
  <si>
    <t>Institutionals (*)</t>
  </si>
  <si>
    <t>TOTAL</t>
  </si>
  <si>
    <t>Equities</t>
  </si>
  <si>
    <t>Multi-assets</t>
  </si>
  <si>
    <t>Bonds</t>
  </si>
  <si>
    <t>Alternative assets</t>
  </si>
  <si>
    <t>Structured products</t>
  </si>
  <si>
    <t>o/w MLT assets</t>
  </si>
  <si>
    <t>o/w Treasury products</t>
  </si>
  <si>
    <t>JV</t>
  </si>
  <si>
    <t>MLT</t>
  </si>
  <si>
    <t>Treasury</t>
  </si>
  <si>
    <t>France</t>
  </si>
  <si>
    <t>Italy</t>
  </si>
  <si>
    <t>Europe excl. France and Italy</t>
  </si>
  <si>
    <t>Asia</t>
  </si>
  <si>
    <t>Rest of the world</t>
  </si>
  <si>
    <t>TOTAL outside France</t>
  </si>
  <si>
    <t>Groupe CA</t>
  </si>
  <si>
    <t>Salariés</t>
  </si>
  <si>
    <t>Autodétention</t>
  </si>
  <si>
    <t>Flottant</t>
  </si>
  <si>
    <t>Nombre total de titres</t>
  </si>
  <si>
    <t>Nombre moyen d'actions (depuis début période)</t>
  </si>
  <si>
    <t>Nombre moyen d'actions (trimestre)</t>
  </si>
  <si>
    <t>Number 
of shares</t>
  </si>
  <si>
    <t>% of share capital</t>
  </si>
  <si>
    <t>Crédit Agricole Group</t>
  </si>
  <si>
    <t>Employees</t>
  </si>
  <si>
    <t>Treasury shares</t>
  </si>
  <si>
    <t>Free float</t>
  </si>
  <si>
    <t>(units)</t>
  </si>
  <si>
    <t>Number of shares at end of period</t>
  </si>
  <si>
    <t>Average number of shares year-to-date</t>
  </si>
  <si>
    <t>Average number of shares quarter-to-date</t>
  </si>
  <si>
    <t>Average number of shares on a prorata basis</t>
  </si>
  <si>
    <t>Shareholding as of:</t>
  </si>
  <si>
    <t>Dates ref - AuM</t>
  </si>
  <si>
    <t>Dates ref - Flows</t>
  </si>
  <si>
    <t>Net management fees</t>
  </si>
  <si>
    <t>Dates (AuM)</t>
  </si>
  <si>
    <t>AuM_</t>
  </si>
  <si>
    <t>Instit</t>
  </si>
  <si>
    <t>Instit_CASGInsurers</t>
  </si>
  <si>
    <t>Total</t>
  </si>
  <si>
    <t>NNM_</t>
  </si>
  <si>
    <t>Dates (Flows)</t>
  </si>
  <si>
    <t>Assets &amp; Flows - by client segments</t>
  </si>
  <si>
    <t>Net flows</t>
  </si>
  <si>
    <t>Assets under management - MLT assets</t>
  </si>
  <si>
    <t>Retail_MLT</t>
  </si>
  <si>
    <t>Instit_MLT</t>
  </si>
  <si>
    <t>Instit_CASGInsurers_MLT</t>
  </si>
  <si>
    <t>JV_MLT</t>
  </si>
  <si>
    <t>Assets under management - Treasury products</t>
  </si>
  <si>
    <t>Retail_Treasury</t>
  </si>
  <si>
    <t>Instit_Treasury</t>
  </si>
  <si>
    <t>Instit_CASGInsurers_Treasury</t>
  </si>
  <si>
    <t>JV_Treasury</t>
  </si>
  <si>
    <t>Assets under management - Total</t>
  </si>
  <si>
    <t>RestofEurope</t>
  </si>
  <si>
    <t>RoW</t>
  </si>
  <si>
    <t>Net flows - Total</t>
  </si>
  <si>
    <t>Net flows - MLT assets</t>
  </si>
  <si>
    <t>Net flows - Treasury products</t>
  </si>
  <si>
    <t>Assets &amp; Flows - by asset classes</t>
  </si>
  <si>
    <t>Assets &amp; Flows - by geographies</t>
  </si>
  <si>
    <t>Active management</t>
  </si>
  <si>
    <t>ETFs &amp; ETCs</t>
  </si>
  <si>
    <t>Assets &amp; Flows - by asset classes &amp; by management types</t>
  </si>
  <si>
    <t>CA &amp; SG insurers</t>
  </si>
  <si>
    <t>Assets &amp; flows - by asset classes (+management types)</t>
  </si>
  <si>
    <t>Content:</t>
  </si>
  <si>
    <t>Staff costs</t>
  </si>
  <si>
    <t>Methodology &amp; Alternative Performance Measures - APM</t>
  </si>
  <si>
    <t>as of 01/01/2024, reclassification into Bonds of short-term bond strategies (€30bn in outstanding) previously classified as Treasury products until 31/12/2023; Outstanding amounts up to that date have not been reclassified.</t>
  </si>
  <si>
    <t>Historical data</t>
  </si>
  <si>
    <t>Costs_PPA</t>
  </si>
  <si>
    <t xml:space="preserve">Note </t>
  </si>
  <si>
    <t>Financial supplement</t>
  </si>
  <si>
    <t>2024Q1_USEqAccnt</t>
  </si>
  <si>
    <t>2024Q2_USEqAccnt</t>
  </si>
  <si>
    <t>2024Q3_USEqAccnt</t>
  </si>
  <si>
    <t>2024Q4_USEqAccnt</t>
  </si>
  <si>
    <t>2024Dec_USEqAccnt</t>
  </si>
  <si>
    <t>2024Jun_USEqAccnt</t>
  </si>
  <si>
    <t>2024Sep_USEqAccnt</t>
  </si>
  <si>
    <t>2025Q1_USEqAccnt</t>
  </si>
  <si>
    <t>Net financial income and others</t>
  </si>
  <si>
    <t>Net financial income and others - Adjusted</t>
  </si>
  <si>
    <t>Technology</t>
  </si>
  <si>
    <t>Income statement - Amundi US contribution</t>
  </si>
  <si>
    <t>Group P&amp;L restated for Amundi US</t>
  </si>
  <si>
    <t>MeQ_Victory_Adj</t>
  </si>
  <si>
    <t>CapGainUS_Net</t>
  </si>
  <si>
    <t>VCTR</t>
  </si>
  <si>
    <t>VCTR_MLT</t>
  </si>
  <si>
    <t>VCTR_Treasury</t>
  </si>
  <si>
    <t xml:space="preserve">Victory-US distribution </t>
  </si>
  <si>
    <t>Victory-US distribution</t>
  </si>
  <si>
    <t>Amundi US - P&amp;L contribution</t>
  </si>
  <si>
    <t>Group P&amp;L</t>
  </si>
  <si>
    <t xml:space="preserve">Assets under management and net inflows including assets under advisory and marketed and funds of funds, including 100% of assets under management and net inflows from Asian JVs; </t>
  </si>
  <si>
    <t>for Wafa Gestion in Morocco and Victory Capital US distribution, assets under management and net inflows are taken over by Amundi in the capital</t>
  </si>
  <si>
    <t>CostIncome_Adj</t>
  </si>
  <si>
    <t>Cost / Income ratio, adjusted (%)</t>
  </si>
  <si>
    <t>CostIncome</t>
  </si>
  <si>
    <t>Cost / Income ratio (%)</t>
  </si>
  <si>
    <t>Index</t>
  </si>
  <si>
    <t>Index (*)</t>
  </si>
  <si>
    <t>(*) starting in Q2 2025, Smart Beta strategies (Equity, fixed income, multi-asset) were transferred from Index &amp; Smart Beta to Active management, in the relevant asset classes; €21bn were reclassified as of 1 April, no reclassification was performed before that date.</t>
  </si>
  <si>
    <t>2024Sep_USEqAccnt2</t>
  </si>
  <si>
    <t>Prov_Adj</t>
  </si>
  <si>
    <t>Pre-tax income</t>
  </si>
  <si>
    <t>Pre-tax income - Adjusted</t>
  </si>
  <si>
    <t>2024Jun_USEqAccnt2</t>
  </si>
  <si>
    <t>2024Dec_USEqAccnt2</t>
  </si>
  <si>
    <t>2025Jun</t>
  </si>
  <si>
    <t>Cost of risk and others - Adjusted</t>
  </si>
  <si>
    <t>H1 2025</t>
  </si>
  <si>
    <t>H1 2024</t>
  </si>
  <si>
    <t>2025Dec</t>
  </si>
  <si>
    <r>
      <t xml:space="preserve">Dates ref </t>
    </r>
    <r>
      <rPr>
        <b/>
        <sz val="8"/>
        <color rgb="FFFF0000"/>
        <rFont val="Arial"/>
        <family val="2"/>
      </rPr>
      <t xml:space="preserve">certaines dates sont en dur </t>
    </r>
  </si>
  <si>
    <t>FY 2024*</t>
  </si>
  <si>
    <t>9M 2024*</t>
  </si>
  <si>
    <t>2024Jun</t>
  </si>
  <si>
    <t>9M 2024</t>
  </si>
  <si>
    <t>Tax_Adjustments_Rev</t>
  </si>
  <si>
    <t>Rev_ICG_MtM</t>
  </si>
  <si>
    <t>Rev_Adjustments_Net</t>
  </si>
  <si>
    <t>Tax_Adjustments_Costs</t>
  </si>
  <si>
    <t>Costs_Adjustments_Net</t>
  </si>
  <si>
    <t>CapGainUS</t>
  </si>
  <si>
    <t>CapGainUS_Tax</t>
  </si>
  <si>
    <t>Rev_TotalAdj</t>
  </si>
  <si>
    <t>Costs_TotalAdj</t>
  </si>
  <si>
    <t>Others_TotalAdj</t>
  </si>
  <si>
    <t>Amortisation of intangible assets (bef. Tax)</t>
  </si>
  <si>
    <t>Amortisation of Alpha Associates earn-out (bef. tax)</t>
  </si>
  <si>
    <t>Tax on revenue adjustments</t>
  </si>
  <si>
    <t>Mark-to-market ICG (not taxable)</t>
  </si>
  <si>
    <t>Revenue adjustments (net of tax)</t>
  </si>
  <si>
    <t>PPA Costs (bef. Tax)</t>
  </si>
  <si>
    <t>Cost adjustments (net of tax)</t>
  </si>
  <si>
    <t>Capital gain Victory (bef. Tax)</t>
  </si>
  <si>
    <t>Tax on capital gain</t>
  </si>
  <si>
    <t>Capital gain Victory (net of tax)</t>
  </si>
  <si>
    <t>Total Revenue adjustments (before tax)</t>
  </si>
  <si>
    <t>Total Cost adjustments (before tax)</t>
  </si>
  <si>
    <t>Total Other P&amp;L items adjustments (before tax)</t>
  </si>
  <si>
    <t>Total Tax adjustments</t>
  </si>
  <si>
    <t>Total Adjustments (after tax)</t>
  </si>
  <si>
    <t>Tax on PPA / IPO / integration costs</t>
  </si>
  <si>
    <t>Total adjustments, net of tax</t>
  </si>
  <si>
    <t>H1 2024*</t>
  </si>
  <si>
    <t>Pro Forma Data</t>
  </si>
  <si>
    <t>(*) including funds of funds</t>
  </si>
  <si>
    <t>2024Dec</t>
  </si>
  <si>
    <t>2023Dec</t>
  </si>
  <si>
    <t>Historical</t>
  </si>
  <si>
    <t>IPO / integration and acquisition costs (bef. tax)</t>
  </si>
  <si>
    <t xml:space="preserve">    Net management fees</t>
  </si>
  <si>
    <t xml:space="preserve">    Performance fees</t>
  </si>
  <si>
    <t>Private, alternative &amp; structured assets</t>
  </si>
  <si>
    <t>Private assets</t>
  </si>
  <si>
    <t>ETFs &amp; Index solutions</t>
  </si>
  <si>
    <t>Private &amp; alternative assets</t>
  </si>
  <si>
    <t>Rest of Europe</t>
  </si>
  <si>
    <t>(€M)</t>
  </si>
  <si>
    <t>P&amp;L &amp; consensus</t>
  </si>
  <si>
    <t>Periods</t>
  </si>
  <si>
    <t>Q</t>
  </si>
  <si>
    <t>Nb_Q</t>
  </si>
  <si>
    <t>FY11</t>
  </si>
  <si>
    <t>FY12</t>
  </si>
  <si>
    <t>FY13</t>
  </si>
  <si>
    <t>Ctrl ("CAUTION!" will display if there is an issue in yellow-highlighted cells):</t>
  </si>
  <si>
    <t>Controls:</t>
  </si>
  <si>
    <t>+1pp of C/I ratio =</t>
  </si>
  <si>
    <t>Comparisons with Amundi US equity-accounted @100%</t>
  </si>
  <si>
    <t>of adj costs</t>
  </si>
  <si>
    <t>Max if&gt;0</t>
  </si>
  <si>
    <t>Max if&lt;0</t>
  </si>
  <si>
    <t>EN</t>
  </si>
  <si>
    <t>FR</t>
  </si>
  <si>
    <t>of adj revenues</t>
  </si>
  <si>
    <t>Min if&lt;0</t>
  </si>
  <si>
    <t>Min if&gt;0</t>
  </si>
  <si>
    <t>Compte de résultat &amp; Indicateurs Alternatifs de Perf.</t>
  </si>
  <si>
    <t>Profit &amp; Loss + Alternative Performance Measures</t>
  </si>
  <si>
    <t>YTD</t>
  </si>
  <si>
    <t>Quarters</t>
  </si>
  <si>
    <t>Quarter</t>
  </si>
  <si>
    <t>MOY</t>
  </si>
  <si>
    <t>#</t>
  </si>
  <si>
    <t>% diff.</t>
  </si>
  <si>
    <t>Diff 
en €</t>
  </si>
  <si>
    <t>MAX</t>
  </si>
  <si>
    <t>MIN</t>
  </si>
  <si>
    <t>MEAN</t>
  </si>
  <si>
    <t>Diff 
in €</t>
  </si>
  <si>
    <t>(M€)</t>
  </si>
  <si>
    <t>(€m)</t>
  </si>
  <si>
    <t>Commissions nettes de gestion</t>
  </si>
  <si>
    <t>Commissions de surperformance</t>
  </si>
  <si>
    <t>Revenus nets de gestion</t>
  </si>
  <si>
    <t>Technologie</t>
  </si>
  <si>
    <t>Produits nets financiers et autres revenus</t>
  </si>
  <si>
    <t>Net financial income and other net income</t>
  </si>
  <si>
    <t>Produits nets financiers et autres revenus, ajustés</t>
  </si>
  <si>
    <t>Revenus nets (a)</t>
  </si>
  <si>
    <t>Net revenue (a)</t>
  </si>
  <si>
    <t>- Amortissements des actifs intangibles avant impôt</t>
  </si>
  <si>
    <t>- Amortisation of intangible assets (bef. Tax)</t>
  </si>
  <si>
    <t>- Autres charges non monétaires liées à Alpha Associates</t>
  </si>
  <si>
    <t>- Other non-cash charges related to Alpha Associates</t>
  </si>
  <si>
    <t>- Revalorisation à valeur de marché - ICG</t>
  </si>
  <si>
    <t>- ICG - MtM valuation</t>
  </si>
  <si>
    <t>Revenus nets - ajustés (b)</t>
  </si>
  <si>
    <t>Charges d'exploitation (c)</t>
  </si>
  <si>
    <t>Operating expenses (c)</t>
  </si>
  <si>
    <t>- Coûts d'intégration et de restructuration avant impôt</t>
  </si>
  <si>
    <t>- Amortissement lié au PPA d’aixigo avant impôt</t>
  </si>
  <si>
    <t>- Amortisation related to aixigo PPA (bef. Tax)</t>
  </si>
  <si>
    <t>Charges d'exploitation - ajustées (d)</t>
  </si>
  <si>
    <t>Résultat brut d'exploitation (e)=(a)+(c)</t>
  </si>
  <si>
    <t>Gross operating income (e)=(a)+(c)</t>
  </si>
  <si>
    <t>Résultat brut d'exploitation - ajusté (f)=(b)+(d)</t>
  </si>
  <si>
    <t>Coefficient d'exploitation (%) -(c)/(a)</t>
  </si>
  <si>
    <t>Cost / Income ratio (%) -(c)/(a)</t>
  </si>
  <si>
    <t>Coefficient d'exploitation - ajusté (%) -(d)/(b)</t>
  </si>
  <si>
    <t>Cost_Income</t>
  </si>
  <si>
    <t>CostIncome_Adj_Norm</t>
  </si>
  <si>
    <t>Coefficient d'exploitation, ajusté, normalisé (%)</t>
  </si>
  <si>
    <t>Coût du risque &amp; autres (g)</t>
  </si>
  <si>
    <t>Cost of risk and others (g)</t>
  </si>
  <si>
    <t>Coût du risque &amp; autres - ajusté (h)</t>
  </si>
  <si>
    <t>EPS</t>
  </si>
  <si>
    <t>Bénéfice par action (€)</t>
  </si>
  <si>
    <t>Earnings per share (€)</t>
  </si>
  <si>
    <t>EPS_Adj</t>
  </si>
  <si>
    <t>Bénéfice par action - ajusté (€)</t>
  </si>
  <si>
    <t>DivPS</t>
  </si>
  <si>
    <t>Dividende par action (€)</t>
  </si>
  <si>
    <t>Dividend per share (€)</t>
  </si>
  <si>
    <t>CONTROLS:</t>
  </si>
  <si>
    <t>CONTROLS: do not delete the row!!</t>
  </si>
  <si>
    <t>Ajustements :</t>
  </si>
  <si>
    <t>Amortissements des actifs intangibles avant impôt</t>
  </si>
  <si>
    <t>Amortissements de l'earn out Alpha Associates avant impôt</t>
  </si>
  <si>
    <t>Amortisation of Alpha Associates Earn Out (bef. tax)</t>
  </si>
  <si>
    <t>Revalorisation MtM ICG</t>
  </si>
  <si>
    <t>MtM revaluation ICG</t>
  </si>
  <si>
    <t>Impôt sur les ajustements de revenus</t>
  </si>
  <si>
    <t>Ajustements des revenus après impôt</t>
  </si>
  <si>
    <t>Adjustments to revenues (net of tax)</t>
  </si>
  <si>
    <t>Amortofdistribcontracts</t>
  </si>
  <si>
    <t>Coûts d'intégration avant impôts</t>
  </si>
  <si>
    <t>Amortissement lié au PPA d’aixigo avant impôts</t>
  </si>
  <si>
    <t>Amortisation related to aixigo PPA (bef. Tax)</t>
  </si>
  <si>
    <t>Impôt sur les ajustements de coûts</t>
  </si>
  <si>
    <t>Tax on cost adjustments</t>
  </si>
  <si>
    <t>Ajustements des coûts après impôt</t>
  </si>
  <si>
    <t>Adjustments to costs (net of tax)</t>
  </si>
  <si>
    <t>Integr_costs</t>
  </si>
  <si>
    <t>Affrancamentoimpact</t>
  </si>
  <si>
    <t>Plus-value Victory Capital avant IS</t>
  </si>
  <si>
    <t>Capital gain Victory Capital before tax</t>
  </si>
  <si>
    <t>Impôt sur plus-value Victory Capital</t>
  </si>
  <si>
    <t xml:space="preserve">Tax on the capital gain from Victory Capital </t>
  </si>
  <si>
    <t>Plus-value Victory Capital après IS</t>
  </si>
  <si>
    <t>Capital gain Victory Capital after tax</t>
  </si>
  <si>
    <t>Affrancamento</t>
  </si>
  <si>
    <t>Total ajustements revenus (avant IS)</t>
  </si>
  <si>
    <t>Total ajustements coûts (avant IS)</t>
  </si>
  <si>
    <t>Total ajustements Autres éléments (avant IS)</t>
  </si>
  <si>
    <t>Total Other items adjustments (before tax)</t>
  </si>
  <si>
    <t>Total ajustements d'impôts</t>
  </si>
  <si>
    <t>Total ajustements (net)</t>
  </si>
  <si>
    <t>Normalisation</t>
  </si>
  <si>
    <t>Commissions de surperfomance - niveau exceptionnel</t>
  </si>
  <si>
    <t>Impôt sur le niveau exceptionnel de commissions de surperformance</t>
  </si>
  <si>
    <t>Tax on exceptional level of perf. fees</t>
  </si>
  <si>
    <t>Commissions de surperfomances - niveau exceptionnel après impôts</t>
  </si>
  <si>
    <t>Coût de normalisation des commissions de surperformances - niveaue xceptionnel</t>
  </si>
  <si>
    <t>Impôts sur les coûts de normalisation</t>
  </si>
  <si>
    <t>Coût de normalisation après impôt</t>
  </si>
  <si>
    <t>Total_Normlisation_Net</t>
  </si>
  <si>
    <t>Encours, collecte nette (Md€) &amp; Ratios</t>
  </si>
  <si>
    <t>AuM, net flows (€bn) &amp; Ratios</t>
  </si>
  <si>
    <t>AuM_Total</t>
  </si>
  <si>
    <t>Encours gérés totaux (Md€)</t>
  </si>
  <si>
    <t>AuM (€bn)</t>
  </si>
  <si>
    <t>NNM_Total</t>
  </si>
  <si>
    <t>Collecte nette totale (Md€)</t>
  </si>
  <si>
    <t>Total net inflows {€bn)</t>
  </si>
  <si>
    <t>NNM_JV</t>
  </si>
  <si>
    <t>dont JV</t>
  </si>
  <si>
    <t>Incl. JV</t>
  </si>
  <si>
    <t>NNM_VCTR</t>
  </si>
  <si>
    <t>Victory Capital - Distribution US</t>
  </si>
  <si>
    <t>Victory Capital - US Distribution</t>
  </si>
  <si>
    <t>NNM_Retail</t>
  </si>
  <si>
    <t>NNM_Instit</t>
  </si>
  <si>
    <t>NNM_Instit_CASGInsurers</t>
  </si>
  <si>
    <t>Assureurs CA &amp; SG</t>
  </si>
  <si>
    <t>Coefficient d'exploitation (%)</t>
  </si>
  <si>
    <t>Coefficient d'exploitation, ajusté (%)</t>
  </si>
  <si>
    <t>OpMargin</t>
  </si>
  <si>
    <t>Marge opérationnelle (%)</t>
  </si>
  <si>
    <t>Operating margin (%)</t>
  </si>
  <si>
    <t>TaxRate</t>
  </si>
  <si>
    <t>Taux d'impôt (%)</t>
  </si>
  <si>
    <t>Effective corporate tax rate (%)</t>
  </si>
  <si>
    <t>TaxRate_Adj</t>
  </si>
  <si>
    <t>Taux d'impôt, ajusté (%)</t>
  </si>
  <si>
    <t>TaxRate_Adj_Norm</t>
  </si>
  <si>
    <t>Taux d'impôt, ajusté, normalisé (%)</t>
  </si>
  <si>
    <t>MeQ_Associates</t>
  </si>
  <si>
    <t>MeQ_Associates_Adj</t>
  </si>
  <si>
    <t>MeQ_JV</t>
  </si>
  <si>
    <t>MeQ_ICG</t>
  </si>
  <si>
    <t>Sociétés mises en équivalence - ICG</t>
  </si>
  <si>
    <t>MeQ_ICG_Adj</t>
  </si>
  <si>
    <t>Sociétés mises en équivalence - ICG - ajusté</t>
  </si>
  <si>
    <t>* pro forma: Amundi US equity-accounted @100% in Q1 2025</t>
  </si>
  <si>
    <t>* pro forma : Amundi US consolidé par mise en équivalence @100% au T1 2025</t>
  </si>
  <si>
    <t>AuM_exAssociates_avg</t>
  </si>
  <si>
    <t>Encours gérés moyens hors Entreprises associées (Md€)</t>
  </si>
  <si>
    <t>AuM (average) excluding Associates (€bn)</t>
  </si>
  <si>
    <t>Associates</t>
  </si>
  <si>
    <t>CA &amp; SG Insurers</t>
  </si>
  <si>
    <t>Associates_MLT</t>
  </si>
  <si>
    <t>Associates_Treasury</t>
  </si>
  <si>
    <t>dont : encours gérés - Entreprises associées</t>
  </si>
  <si>
    <t>incl: AuM Associates</t>
  </si>
  <si>
    <t>AuM_Associates</t>
  </si>
  <si>
    <t>NNM_Associates</t>
  </si>
  <si>
    <t>incl.: Net inflows - Associates</t>
  </si>
  <si>
    <t>dont : Entreprises associées</t>
  </si>
  <si>
    <t>Institutionals excl. CA &amp; SG insurers</t>
  </si>
  <si>
    <t>Institutionnels hors Assureurs CA &amp; SG</t>
  </si>
  <si>
    <t>Total adjustments (net of tax)</t>
  </si>
  <si>
    <t>MeQ_VCTR_Adj</t>
  </si>
  <si>
    <t>MeQ_Adjustments_VCTR</t>
  </si>
  <si>
    <t>MeQ_Adjustments_ICG</t>
  </si>
  <si>
    <t>MeQ_VCTR</t>
  </si>
  <si>
    <t>Adjustments Associates (net of tax)</t>
  </si>
  <si>
    <t>MeQ_Adjustments</t>
  </si>
  <si>
    <t>Adjustments Associates (net of tax) - Victory</t>
  </si>
  <si>
    <t>Adjustments Associates (net of tax) - ICG</t>
  </si>
  <si>
    <t>2025Q4</t>
  </si>
  <si>
    <t>MLT_Equity_exAssociates</t>
  </si>
  <si>
    <t>MLT_MultiAssets_exAssociates</t>
  </si>
  <si>
    <t>MLT_Bonds_exAssociates</t>
  </si>
  <si>
    <t>MLT_ARA_RealAssets_exAssociates</t>
  </si>
  <si>
    <t>MLT_ARA_Alts_exAssociates</t>
  </si>
  <si>
    <t>MLT_Structured_exAssociates</t>
  </si>
  <si>
    <t>MLT_exAssociates</t>
  </si>
  <si>
    <t>Treasury_exAssociates</t>
  </si>
  <si>
    <t>exAssociates</t>
  </si>
  <si>
    <t>MLT_Active_exAssociates</t>
  </si>
  <si>
    <t>MLT_Active_Equity_exAssociates</t>
  </si>
  <si>
    <t>MLT_Active_MultiAssets_exAssociates</t>
  </si>
  <si>
    <t>MLT_Active_Bonds_exAssociates</t>
  </si>
  <si>
    <t>MLT_Passive_exAssociates</t>
  </si>
  <si>
    <t>MLT_Passive_ETF_exAssociates</t>
  </si>
  <si>
    <t>MLT_ARA_exAssociates</t>
  </si>
  <si>
    <t>MLT assets (*)</t>
  </si>
  <si>
    <t>Treasury products (*)</t>
  </si>
  <si>
    <t>TOTAL (*)</t>
  </si>
  <si>
    <t>(*) excluding Associates</t>
  </si>
  <si>
    <t>MLT_Index&amp;Smartbeta_exAssociates</t>
  </si>
  <si>
    <t>Associates - ICG</t>
  </si>
  <si>
    <t>Adjustments to Victory Capital/Associates (net of tax)</t>
  </si>
  <si>
    <t>Adjustments ICG/Associates (net of tax)</t>
  </si>
  <si>
    <t>Ajustements ICG/mises en équiv. (après IS)</t>
  </si>
  <si>
    <t>Ajustements Victory Capital/mises en équiv. (après IS)</t>
  </si>
  <si>
    <t>Net financial income &amp; others - ajusted</t>
  </si>
  <si>
    <t>Net revenue - ajusted (b)</t>
  </si>
  <si>
    <t>Operating expenses - ajusted (d)</t>
  </si>
  <si>
    <t>Gross operating income - ajusted (f)=(b)+(d)</t>
  </si>
  <si>
    <t>Cost / Income ratio, ajusted (%) -(d)/(b)</t>
  </si>
  <si>
    <t>Cost of risk and others - ajusted (h)</t>
  </si>
  <si>
    <t>Associates - ICG - ajusted</t>
  </si>
  <si>
    <t>Earnings per share - ajusted (€)</t>
  </si>
  <si>
    <t>Cost / Income ratio, ajusted (%)</t>
  </si>
  <si>
    <t>Cost / Income ratio, ajusted, normalised (%)</t>
  </si>
  <si>
    <t>Effective corporate tax rate, ajusted (%)</t>
  </si>
  <si>
    <t>Effective corporate tax rate, ajusted, normalised (%)</t>
  </si>
  <si>
    <t>NEW: The Employee Savings and Retirement (ESR) business line was presented with the Institutional segment until the 4th quarter 2025 results; it is now integrated into the Retail segment,
the 2025 quarterly series have been restated to take account of this new allocation</t>
  </si>
  <si>
    <t>Share of net income from Associates</t>
  </si>
  <si>
    <t>- Integration and restructuring costs (bef. Tax)</t>
  </si>
  <si>
    <t>Share of net income from Associates  – adjusted</t>
  </si>
  <si>
    <t>Associates - JVs</t>
  </si>
  <si>
    <t>Associates - US operations</t>
  </si>
  <si>
    <t>Associates - US operations  – adjusted</t>
  </si>
  <si>
    <t>Associates - ICG  – adjusted</t>
  </si>
  <si>
    <t>Sociétés mises en équivalence - JV</t>
  </si>
  <si>
    <t>Sociétés mises en équivalence - Victory Capital</t>
  </si>
  <si>
    <t>Associates - Victory Capital</t>
  </si>
  <si>
    <t>Sociétés mises en équivalence - Victory Capital - ajusté</t>
  </si>
  <si>
    <t>Associates - Victory Capital - ajusted</t>
  </si>
  <si>
    <t>Sociétés mises en équivalence (i)</t>
  </si>
  <si>
    <t>Share of net income from Associates (i)</t>
  </si>
  <si>
    <t>Sociétés mises en équivalence - ajusté (j)</t>
  </si>
  <si>
    <t>Share of net income from Associates - Adjusted (j)</t>
  </si>
  <si>
    <t>Résultat avant impôts (k)=(e)+(g)+(i)</t>
  </si>
  <si>
    <t>Pre-tax income (k)=(e)+(g)+(i)</t>
  </si>
  <si>
    <t>Résultat avant impôts - ajusté (l)=(f)+(h)+(j)</t>
  </si>
  <si>
    <t>Pre-tax income - ajusted (l)=(f)+(h)+(j)</t>
  </si>
  <si>
    <t>Impôts sur les bénéfices (m)</t>
  </si>
  <si>
    <t>Impôts sur les bénéfices - ajustés (n)</t>
  </si>
  <si>
    <t>Minoritaires (o)</t>
  </si>
  <si>
    <t>Corporate tax (m)</t>
  </si>
  <si>
    <t>Corporate tax - ajusted (n)</t>
  </si>
  <si>
    <t>Non-controlling interests (o)</t>
  </si>
  <si>
    <t>Résultat net part du Groupe (p)=(k)+(m)+(o)</t>
  </si>
  <si>
    <t>Net income group share (p)=(k)+(m)+(o)</t>
  </si>
  <si>
    <t>Résultat net part du Groupe - ajusté (q)=(l)+(n)+(o)</t>
  </si>
  <si>
    <t>Net income group share - ajusted (q)=(l)+(n)+(o)</t>
  </si>
  <si>
    <t>N/A</t>
  </si>
  <si>
    <t>NA</t>
  </si>
  <si>
    <t>Group P&amp;L (2025 pro forma)</t>
  </si>
  <si>
    <t>Group P&amp;L (2025 Historical)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</si>
</sst>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64" formatCode="[Red]\+0.0%\-0.0%;0.0%"/>
    <numFmt numFmtId="165" formatCode="#,##0_);\(#,##0\);0_)"/>
    <numFmt numFmtId="166" formatCode="#,##0.00_);\(#,##0.00\);0.00_);@_)"/>
    <numFmt numFmtId="167" formatCode="\+0.0%;\-0.0%;0.0%"/>
    <numFmt numFmtId="168" formatCode="\+#,##0.0,,,;[Red]\-#,##0.0,,,;;"/>
    <numFmt numFmtId="169" formatCode="#,##0,,,;[Red]\-#,##0,,,;0_)"/>
    <numFmt numFmtId="170" formatCode="\+#,##0.0,,,;\-#,##0.0,,,;;"/>
    <numFmt numFmtId="171" formatCode="\+#,##0.0,,,;\-#,##0.0,,,;0.0_)"/>
    <numFmt numFmtId="172" formatCode="0.0%"/>
    <numFmt numFmtId="173" formatCode="dd/mm/yyyy;@"/>
    <numFmt numFmtId="174" formatCode="[$-F800]dddd\,\ mmmm\ dd\,\ yyyy"/>
    <numFmt numFmtId="175" formatCode="#,##0.0_ ;\-#,##0.0\ "/>
    <numFmt numFmtId="176" formatCode="#,##0.000,,,;[Red]\-#,##0.000,,,;0.000_)"/>
    <numFmt numFmtId="177" formatCode="#,##0.0000,,,;[Red]\-#,##0.0000,,,;0.0000_)"/>
    <numFmt numFmtId="178" formatCode="\+#,##0.000,,,;\-#,##0.000,,,;"/>
    <numFmt numFmtId="179" formatCode="#,##0.0%;\(#,##0.0%\);\-"/>
    <numFmt numFmtId="180" formatCode="\+#,##0.0&quot;pp&quot;;\-#,##0.0&quot;pp&quot;;\-"/>
    <numFmt numFmtId="181" formatCode="#,##0_);\(#,##0\);\-_)"/>
    <numFmt numFmtId="182" formatCode="#,##0.00_);\(#,##0.00\);&quot;TRUE&quot;"/>
    <numFmt numFmtId="183" formatCode="\+#,##0.0_);[Red]\(#,##0.0\);0.0_)"/>
    <numFmt numFmtId="184" formatCode="#,##0.00000000"/>
    <numFmt numFmtId="185" formatCode="General&quot;E&quot;"/>
    <numFmt numFmtId="186" formatCode="\+#,##0_);[Red]\(#,##0\);0_)"/>
    <numFmt numFmtId="187" formatCode="#,##0.0&quot;pp&quot;;\-#,##0.0&quot;pp&quot;;\-"/>
    <numFmt numFmtId="188" formatCode="#,##0.00&quot;pp&quot;;\-#,##0.00&quot;pp&quot;;\-"/>
    <numFmt numFmtId="189" formatCode="\+#,##0.00&quot;pp&quot;;\-#,##0.00&quot;pp&quot;;\-"/>
    <numFmt numFmtId="190" formatCode="#,##0.00_);\(#,##0.00\);0.00_)"/>
    <numFmt numFmtId="191" formatCode="\+#,##0.00_);[Red]\(#,##0.00\);0.00_)"/>
    <numFmt numFmtId="192" formatCode="\+0.0%;\-0.0%;\-_)"/>
    <numFmt numFmtId="193" formatCode="#,##0.0_);\(#,##0.0\);0.0_)"/>
    <numFmt numFmtId="194" formatCode="#,##0_);\(#,##0\);&quot;-&quot;_);@_)"/>
  </numFmts>
  <fonts count="99" x14ac:knownFonts="1">
    <font>
      <sz val="9"/>
      <color theme="1"/>
      <name val="Arial"/>
      <family val="2"/>
    </font>
    <font>
      <sz val="11"/>
      <color theme="1"/>
      <name val="Arial"/>
      <family val="2"/>
    </font>
    <font>
      <sz val="11"/>
      <color theme="1"/>
      <name val="Arial"/>
      <family val="2"/>
    </font>
    <font>
      <sz val="9"/>
      <color theme="1"/>
      <name val="Arial"/>
      <family val="2"/>
    </font>
    <font>
      <u/>
      <sz val="9"/>
      <color theme="10"/>
      <name val="Arial"/>
      <family val="2"/>
    </font>
    <font>
      <i/>
      <sz val="9"/>
      <color theme="1"/>
      <name val="Arial"/>
      <family val="2"/>
    </font>
    <font>
      <b/>
      <sz val="9"/>
      <color theme="1"/>
      <name val="Arial"/>
      <family val="2"/>
    </font>
    <font>
      <b/>
      <i/>
      <sz val="9"/>
      <color theme="1"/>
      <name val="Arial"/>
      <family val="2"/>
    </font>
    <font>
      <b/>
      <sz val="9"/>
      <color theme="0"/>
      <name val="Arial"/>
      <family val="2"/>
    </font>
    <font>
      <sz val="10"/>
      <color theme="1"/>
      <name val="Arial"/>
      <family val="2"/>
    </font>
    <font>
      <i/>
      <sz val="8"/>
      <color theme="1"/>
      <name val="Arial"/>
      <family val="2"/>
    </font>
    <font>
      <b/>
      <i/>
      <sz val="9"/>
      <color theme="0"/>
      <name val="Arial"/>
      <family val="2"/>
    </font>
    <font>
      <b/>
      <sz val="9"/>
      <name val="Arial"/>
      <family val="2"/>
    </font>
    <font>
      <sz val="9"/>
      <name val="Arial"/>
      <family val="2"/>
    </font>
    <font>
      <sz val="9"/>
      <color theme="0"/>
      <name val="Arial"/>
      <family val="2"/>
    </font>
    <font>
      <i/>
      <sz val="9"/>
      <name val="Arial"/>
      <family val="2"/>
    </font>
    <font>
      <b/>
      <i/>
      <sz val="8"/>
      <color theme="1"/>
      <name val="Arial"/>
      <family val="2"/>
    </font>
    <font>
      <sz val="10"/>
      <name val="Arial"/>
      <family val="2"/>
    </font>
    <font>
      <sz val="9"/>
      <color rgb="FF003C64"/>
      <name val="Arial"/>
      <family val="2"/>
    </font>
    <font>
      <i/>
      <sz val="9"/>
      <color rgb="FF003C64"/>
      <name val="Arial"/>
      <family val="2"/>
    </font>
    <font>
      <b/>
      <sz val="9"/>
      <color rgb="FF003C64"/>
      <name val="Arial"/>
      <family val="2"/>
    </font>
    <font>
      <i/>
      <sz val="7"/>
      <color theme="1"/>
      <name val="Arial"/>
      <family val="2"/>
    </font>
    <font>
      <sz val="8"/>
      <color theme="1"/>
      <name val="Arial"/>
      <family val="2"/>
    </font>
    <font>
      <sz val="9"/>
      <color rgb="FFFF0000"/>
      <name val="Arial"/>
      <family val="2"/>
    </font>
    <font>
      <b/>
      <sz val="14"/>
      <color rgb="FF0070C0"/>
      <name val="Arial"/>
      <family val="2"/>
    </font>
    <font>
      <sz val="9"/>
      <color theme="1"/>
      <name val="Noto Sans Condensed"/>
      <family val="2"/>
    </font>
    <font>
      <b/>
      <sz val="9"/>
      <color theme="8"/>
      <name val="Arial"/>
      <family val="2"/>
    </font>
    <font>
      <i/>
      <sz val="9"/>
      <name val="Noto Sans Condensed"/>
      <family val="2"/>
    </font>
    <font>
      <sz val="14"/>
      <color theme="1"/>
      <name val="Arial"/>
      <family val="2"/>
    </font>
    <font>
      <sz val="8"/>
      <name val="Arial"/>
      <family val="2"/>
    </font>
    <font>
      <b/>
      <i/>
      <sz val="9"/>
      <name val="Arial"/>
      <family val="2"/>
    </font>
    <font>
      <b/>
      <sz val="12"/>
      <color rgb="FF0070C0"/>
      <name val="Arial"/>
      <family val="2"/>
    </font>
    <font>
      <b/>
      <sz val="12"/>
      <color theme="8"/>
      <name val="Arial"/>
      <family val="2"/>
    </font>
    <font>
      <i/>
      <sz val="9"/>
      <color theme="0"/>
      <name val="Arial"/>
      <family val="2"/>
    </font>
    <font>
      <b/>
      <sz val="9"/>
      <color rgb="FF0070C0"/>
      <name val="Arial"/>
      <family val="2"/>
    </font>
    <font>
      <b/>
      <i/>
      <sz val="8"/>
      <color theme="0"/>
      <name val="Arial"/>
      <family val="2"/>
    </font>
    <font>
      <b/>
      <i/>
      <sz val="9"/>
      <color rgb="FF003C64"/>
      <name val="Arial"/>
      <family val="2"/>
    </font>
    <font>
      <sz val="8"/>
      <color theme="0"/>
      <name val="Arial"/>
      <family val="2"/>
    </font>
    <font>
      <b/>
      <i/>
      <sz val="8"/>
      <color rgb="FFFF0000"/>
      <name val="Arial"/>
      <family val="2"/>
    </font>
    <font>
      <sz val="11"/>
      <color theme="1"/>
      <name val="Calibri"/>
      <family val="2"/>
      <scheme val="minor"/>
    </font>
    <font>
      <b/>
      <sz val="10"/>
      <color rgb="FF00355F"/>
      <name val="Arial"/>
      <family val="2"/>
    </font>
    <font>
      <i/>
      <sz val="9"/>
      <color rgb="FF002060"/>
      <name val="Arial"/>
      <family val="2"/>
    </font>
    <font>
      <b/>
      <sz val="8"/>
      <color rgb="FFFF0000"/>
      <name val="Arial"/>
      <family val="2"/>
    </font>
    <font>
      <b/>
      <sz val="11"/>
      <color theme="0"/>
      <name val="Arial"/>
      <family val="2"/>
    </font>
    <font>
      <b/>
      <sz val="11"/>
      <color theme="1"/>
      <name val="Arial"/>
      <family val="2"/>
    </font>
    <font>
      <i/>
      <sz val="10"/>
      <color theme="1"/>
      <name val="Noto Sans Condensed"/>
      <family val="2"/>
    </font>
    <font>
      <sz val="10"/>
      <color theme="1"/>
      <name val="Noto Sans Condensed"/>
      <family val="2"/>
    </font>
    <font>
      <i/>
      <sz val="10"/>
      <color rgb="FFFF0000"/>
      <name val="Noto Sans Condensed"/>
      <family val="2"/>
    </font>
    <font>
      <sz val="11"/>
      <color theme="1"/>
      <name val="Noto Sans Condensed"/>
      <family val="2"/>
    </font>
    <font>
      <i/>
      <sz val="11"/>
      <color theme="1"/>
      <name val="Noto Sans Condensed"/>
      <family val="2"/>
    </font>
    <font>
      <i/>
      <sz val="11"/>
      <color rgb="FFFF0000"/>
      <name val="Noto Sans Condensed"/>
      <family val="2"/>
    </font>
    <font>
      <b/>
      <i/>
      <sz val="10"/>
      <color rgb="FFFF0000"/>
      <name val="Noto Sans Condensed"/>
      <family val="2"/>
    </font>
    <font>
      <b/>
      <sz val="11"/>
      <color rgb="FF0070C0"/>
      <name val="Noto Sans Condensed"/>
      <family val="2"/>
    </font>
    <font>
      <b/>
      <sz val="10"/>
      <color theme="1"/>
      <name val="Noto Sans Condensed"/>
      <family val="2"/>
    </font>
    <font>
      <b/>
      <i/>
      <sz val="11"/>
      <color rgb="FF0070C0"/>
      <name val="Noto Sans Condensed"/>
      <family val="2"/>
    </font>
    <font>
      <sz val="10"/>
      <name val="Noto Sans Condensed"/>
      <family val="2"/>
    </font>
    <font>
      <b/>
      <sz val="14"/>
      <color rgb="FF0070C0"/>
      <name val="Noto Sans Condensed"/>
      <family val="2"/>
    </font>
    <font>
      <b/>
      <u/>
      <sz val="11"/>
      <color theme="0"/>
      <name val="Noto Sans Condensed"/>
      <family val="2"/>
    </font>
    <font>
      <b/>
      <sz val="11"/>
      <color rgb="FF00355F"/>
      <name val="Noto Sans Condensed"/>
      <family val="2"/>
    </font>
    <font>
      <b/>
      <sz val="11"/>
      <color theme="0"/>
      <name val="Noto Sans Condensed"/>
      <family val="2"/>
    </font>
    <font>
      <b/>
      <i/>
      <sz val="11"/>
      <color theme="0"/>
      <name val="Noto Sans Condensed"/>
      <family val="2"/>
    </font>
    <font>
      <i/>
      <sz val="11"/>
      <color theme="1"/>
      <name val="Arial"/>
      <family val="2"/>
    </font>
    <font>
      <b/>
      <u/>
      <sz val="11"/>
      <color theme="0"/>
      <name val="Arial"/>
      <family val="2"/>
    </font>
    <font>
      <b/>
      <i/>
      <sz val="11"/>
      <color rgb="FF00355F"/>
      <name val="Arial"/>
      <family val="2"/>
    </font>
    <font>
      <b/>
      <sz val="11"/>
      <color rgb="FF00355F"/>
      <name val="Arial"/>
      <family val="2"/>
    </font>
    <font>
      <b/>
      <i/>
      <sz val="11"/>
      <color rgb="FFFF0000"/>
      <name val="Arial"/>
      <family val="2"/>
    </font>
    <font>
      <b/>
      <i/>
      <sz val="11"/>
      <color theme="0"/>
      <name val="Arial"/>
      <family val="2"/>
    </font>
    <font>
      <b/>
      <i/>
      <sz val="11"/>
      <color rgb="FFFF0000"/>
      <name val="Noto Sans Condensed"/>
      <family val="2"/>
    </font>
    <font>
      <b/>
      <i/>
      <sz val="10"/>
      <color theme="0"/>
      <name val="Noto Sans Condensed"/>
      <family val="2"/>
    </font>
    <font>
      <sz val="11"/>
      <name val="Noto Sans Condensed"/>
      <family val="2"/>
    </font>
    <font>
      <i/>
      <sz val="10"/>
      <name val="Noto Sans Condensed"/>
      <family val="2"/>
    </font>
    <font>
      <i/>
      <sz val="11"/>
      <name val="Noto Sans Condensed"/>
      <family val="2"/>
    </font>
    <font>
      <b/>
      <sz val="11"/>
      <name val="Noto Sans Condensed"/>
      <family val="2"/>
    </font>
    <font>
      <sz val="11"/>
      <color theme="0"/>
      <name val="Noto Sans Condensed"/>
      <family val="2"/>
    </font>
    <font>
      <b/>
      <i/>
      <sz val="10"/>
      <name val="Noto Sans Condensed"/>
      <family val="2"/>
    </font>
    <font>
      <b/>
      <i/>
      <sz val="11"/>
      <name val="Noto Sans Condensed"/>
      <family val="2"/>
    </font>
    <font>
      <b/>
      <sz val="11"/>
      <color theme="1"/>
      <name val="Noto Sans Condensed"/>
      <family val="2"/>
    </font>
    <font>
      <b/>
      <sz val="10"/>
      <color theme="0"/>
      <name val="Noto Sans Condensed"/>
      <family val="2"/>
    </font>
    <font>
      <b/>
      <sz val="11"/>
      <color rgb="FFFF0000"/>
      <name val="Noto Sans Condensed"/>
      <family val="2"/>
    </font>
    <font>
      <i/>
      <sz val="10"/>
      <color theme="0"/>
      <name val="Noto Sans Condensed"/>
      <family val="2"/>
    </font>
    <font>
      <b/>
      <i/>
      <sz val="10"/>
      <color theme="1"/>
      <name val="Noto Sans Condensed"/>
      <family val="2"/>
    </font>
    <font>
      <b/>
      <sz val="10"/>
      <name val="Noto Sans Condensed"/>
      <family val="2"/>
    </font>
    <font>
      <i/>
      <sz val="11"/>
      <color indexed="8"/>
      <name val="Noto Sans Condensed"/>
      <family val="2"/>
    </font>
    <font>
      <i/>
      <sz val="10"/>
      <color indexed="8"/>
      <name val="Noto Sans Condensed"/>
      <family val="2"/>
    </font>
    <font>
      <b/>
      <sz val="8"/>
      <color theme="1"/>
      <name val="Arial"/>
      <family val="2"/>
    </font>
    <font>
      <sz val="11"/>
      <color rgb="FFFF0000"/>
      <name val="Noto Sans Condensed"/>
      <family val="2"/>
    </font>
    <font>
      <b/>
      <sz val="16"/>
      <color theme="9"/>
      <name val="Noto Sans Condensed"/>
      <family val="2"/>
    </font>
    <font>
      <sz val="9"/>
      <color indexed="81"/>
      <name val="Tahoma"/>
      <family val="2"/>
    </font>
    <font>
      <b/>
      <sz val="9"/>
      <color indexed="81"/>
      <name val="Tahoma"/>
      <family val="2"/>
    </font>
    <font>
      <b/>
      <i/>
      <sz val="8"/>
      <color theme="1"/>
      <name val="Noto Sans Condensed"/>
      <family val="2"/>
    </font>
    <font>
      <b/>
      <sz val="14"/>
      <color theme="4"/>
      <name val="Noto Sans Condensed"/>
      <family val="2"/>
    </font>
    <font>
      <b/>
      <sz val="12"/>
      <color rgb="FF00B0F0"/>
      <name val="Noto Sans Condensed"/>
      <family val="2"/>
    </font>
    <font>
      <u/>
      <sz val="9"/>
      <color theme="10"/>
      <name val="Noto Sans Condensed"/>
      <family val="2"/>
    </font>
    <font>
      <b/>
      <sz val="12"/>
      <color theme="4"/>
      <name val="Noto Sans Condensed"/>
      <family val="2"/>
    </font>
    <font>
      <i/>
      <sz val="8"/>
      <color rgb="FF003C64"/>
      <name val="Arial"/>
      <family val="2"/>
    </font>
    <font>
      <sz val="9"/>
      <color rgb="FF005483"/>
      <name val="Arial"/>
      <family val="2"/>
    </font>
    <font>
      <b/>
      <i/>
      <sz val="8"/>
      <color rgb="FF005483"/>
      <name val="Arial"/>
      <family val="2"/>
    </font>
    <font>
      <sz val="8"/>
      <color rgb="FF005483"/>
      <name val="Arial"/>
      <family val="2"/>
    </font>
    <font>
      <i/>
      <sz val="8"/>
      <color rgb="FF005483"/>
      <name val="Arial"/>
      <family val="2"/>
    </font>
  </fonts>
  <fills count="31">
    <fill>
      <patternFill patternType="none"/>
    </fill>
    <fill>
      <patternFill patternType="gray125"/>
    </fill>
    <fill>
      <patternFill patternType="solid">
        <fgColor theme="0" tint="-0.14999847407452621"/>
        <bgColor indexed="64"/>
      </patternFill>
    </fill>
    <fill>
      <patternFill patternType="solid">
        <fgColor rgb="FF003C64"/>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005483"/>
        <bgColor indexed="64"/>
      </patternFill>
    </fill>
    <fill>
      <patternFill patternType="solid">
        <fgColor rgb="FFEDEDED"/>
        <bgColor indexed="64"/>
      </patternFill>
    </fill>
    <fill>
      <patternFill patternType="solid">
        <fgColor rgb="FFBFBFBF"/>
        <bgColor indexed="64"/>
      </patternFill>
    </fill>
    <fill>
      <patternFill patternType="solid">
        <fgColor rgb="FF0073A3"/>
        <bgColor indexed="64"/>
      </patternFill>
    </fill>
    <fill>
      <patternFill patternType="solid">
        <fgColor theme="0"/>
        <bgColor indexed="64"/>
      </patternFill>
    </fill>
    <fill>
      <patternFill patternType="solid">
        <fgColor indexed="9"/>
        <bgColor indexed="64"/>
      </patternFill>
    </fill>
    <fill>
      <patternFill patternType="solid">
        <fgColor rgb="FF102D69"/>
        <bgColor indexed="64"/>
      </patternFill>
    </fill>
    <fill>
      <patternFill patternType="solid">
        <fgColor rgb="FF003167"/>
        <bgColor indexed="64"/>
      </patternFill>
    </fill>
    <fill>
      <patternFill patternType="solid">
        <fgColor rgb="FFD9D9D9"/>
        <bgColor indexed="64"/>
      </patternFill>
    </fill>
    <fill>
      <patternFill patternType="solid">
        <fgColor theme="4" tint="0.79998168889431442"/>
        <bgColor indexed="64"/>
      </patternFill>
    </fill>
    <fill>
      <patternFill patternType="solid">
        <fgColor theme="4"/>
        <bgColor indexed="64"/>
      </patternFill>
    </fill>
    <fill>
      <patternFill patternType="solid">
        <fgColor theme="0" tint="-4.9989318521683403E-2"/>
        <bgColor indexed="64"/>
      </patternFill>
    </fill>
    <fill>
      <patternFill patternType="solid">
        <fgColor rgb="FF99B9D9"/>
        <bgColor indexed="64"/>
      </patternFill>
    </fill>
    <fill>
      <patternFill patternType="solid">
        <fgColor rgb="FF00B0F0"/>
        <bgColor indexed="64"/>
      </patternFill>
    </fill>
    <fill>
      <patternFill patternType="solid">
        <fgColor theme="8"/>
        <bgColor indexed="64"/>
      </patternFill>
    </fill>
    <fill>
      <patternFill patternType="solid">
        <fgColor rgb="FF002060"/>
        <bgColor indexed="64"/>
      </patternFill>
    </fill>
    <fill>
      <patternFill patternType="solid">
        <fgColor theme="6" tint="0.59999389629810485"/>
        <bgColor indexed="64"/>
      </patternFill>
    </fill>
    <fill>
      <patternFill patternType="solid">
        <fgColor theme="0" tint="-0.34998626667073579"/>
        <bgColor indexed="64"/>
      </patternFill>
    </fill>
    <fill>
      <patternFill patternType="solid">
        <fgColor theme="3"/>
        <bgColor indexed="64"/>
      </patternFill>
    </fill>
    <fill>
      <patternFill patternType="solid">
        <fgColor rgb="FF4D4D4F"/>
        <bgColor indexed="64"/>
      </patternFill>
    </fill>
    <fill>
      <patternFill patternType="solid">
        <fgColor rgb="FF5B9BD5"/>
        <bgColor indexed="64"/>
      </patternFill>
    </fill>
    <fill>
      <patternFill patternType="solid">
        <fgColor rgb="FF00A0E3"/>
        <bgColor indexed="64"/>
      </patternFill>
    </fill>
    <fill>
      <patternFill patternType="solid">
        <fgColor theme="2"/>
        <bgColor indexed="64"/>
      </patternFill>
    </fill>
    <fill>
      <patternFill patternType="solid">
        <fgColor rgb="FF0070C0"/>
        <bgColor indexed="64"/>
      </patternFill>
    </fill>
  </fills>
  <borders count="37">
    <border>
      <left/>
      <right/>
      <top/>
      <bottom/>
      <diagonal/>
    </border>
    <border>
      <left style="thin">
        <color rgb="FF0070C0"/>
      </left>
      <right style="thin">
        <color theme="0" tint="-0.24994659260841701"/>
      </right>
      <top style="thin">
        <color rgb="FF0070C0"/>
      </top>
      <bottom style="thin">
        <color theme="0" tint="-0.24994659260841701"/>
      </bottom>
      <diagonal/>
    </border>
    <border>
      <left style="thin">
        <color theme="0" tint="-0.24994659260841701"/>
      </left>
      <right style="thin">
        <color rgb="FF0070C0"/>
      </right>
      <top style="thin">
        <color rgb="FF0070C0"/>
      </top>
      <bottom style="thin">
        <color theme="0" tint="-0.24994659260841701"/>
      </bottom>
      <diagonal/>
    </border>
    <border>
      <left style="thin">
        <color rgb="FF0070C0"/>
      </left>
      <right style="thin">
        <color theme="0" tint="-0.24994659260841701"/>
      </right>
      <top style="thin">
        <color theme="0" tint="-0.24994659260841701"/>
      </top>
      <bottom style="thin">
        <color theme="0" tint="-0.24994659260841701"/>
      </bottom>
      <diagonal/>
    </border>
    <border>
      <left style="thin">
        <color theme="0" tint="-0.24994659260841701"/>
      </left>
      <right style="thin">
        <color rgb="FF0070C0"/>
      </right>
      <top style="thin">
        <color theme="0" tint="-0.24994659260841701"/>
      </top>
      <bottom style="thin">
        <color theme="0" tint="-0.24994659260841701"/>
      </bottom>
      <diagonal/>
    </border>
    <border>
      <left style="thin">
        <color rgb="FF0070C0"/>
      </left>
      <right style="thin">
        <color theme="0" tint="-0.24994659260841701"/>
      </right>
      <top style="thin">
        <color theme="0" tint="-0.24994659260841701"/>
      </top>
      <bottom style="thin">
        <color rgb="FF0070C0"/>
      </bottom>
      <diagonal/>
    </border>
    <border>
      <left style="thin">
        <color theme="0" tint="-0.24994659260841701"/>
      </left>
      <right style="thin">
        <color rgb="FF0070C0"/>
      </right>
      <top style="thin">
        <color theme="0" tint="-0.24994659260841701"/>
      </top>
      <bottom style="thin">
        <color rgb="FF0070C0"/>
      </bottom>
      <diagonal/>
    </border>
    <border>
      <left/>
      <right/>
      <top style="medium">
        <color theme="4"/>
      </top>
      <bottom style="thin">
        <color theme="0" tint="-0.1499679555650502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diagonal/>
    </border>
    <border>
      <left/>
      <right/>
      <top style="thin">
        <color theme="2" tint="-0.24994659260841701"/>
      </top>
      <bottom/>
      <diagonal/>
    </border>
    <border>
      <left/>
      <right/>
      <top style="thin">
        <color theme="2" tint="-0.24994659260841701"/>
      </top>
      <bottom style="hair">
        <color theme="0" tint="-0.14996795556505021"/>
      </bottom>
      <diagonal/>
    </border>
    <border>
      <left/>
      <right/>
      <top style="thin">
        <color theme="2" tint="-0.24994659260841701"/>
      </top>
      <bottom style="thin">
        <color theme="0" tint="-0.14996795556505021"/>
      </bottom>
      <diagonal/>
    </border>
    <border>
      <left/>
      <right/>
      <top/>
      <bottom style="thin">
        <color rgb="FF003C64"/>
      </bottom>
      <diagonal/>
    </border>
    <border>
      <left/>
      <right/>
      <top/>
      <bottom style="thin">
        <color rgb="FF005483"/>
      </bottom>
      <diagonal/>
    </border>
    <border>
      <left/>
      <right/>
      <top style="thin">
        <color theme="2" tint="-0.24994659260841701"/>
      </top>
      <bottom style="thin">
        <color rgb="FF005483"/>
      </bottom>
      <diagonal/>
    </border>
    <border>
      <left/>
      <right/>
      <top/>
      <bottom style="hair">
        <color theme="0" tint="-0.14996795556505021"/>
      </bottom>
      <diagonal/>
    </border>
    <border>
      <left/>
      <right/>
      <top style="thin">
        <color rgb="FF003C64"/>
      </top>
      <bottom style="thin">
        <color rgb="FF003C64"/>
      </bottom>
      <diagonal/>
    </border>
    <border>
      <left/>
      <right/>
      <top/>
      <bottom style="hair">
        <color theme="1" tint="0.499984740745262"/>
      </bottom>
      <diagonal/>
    </border>
    <border>
      <left/>
      <right/>
      <top/>
      <bottom style="thin">
        <color theme="0"/>
      </bottom>
      <diagonal/>
    </border>
    <border>
      <left/>
      <right/>
      <top/>
      <bottom style="thin">
        <color indexed="64"/>
      </bottom>
      <diagonal/>
    </border>
    <border>
      <left/>
      <right/>
      <top style="hair">
        <color theme="1" tint="0.499984740745262"/>
      </top>
      <bottom style="hair">
        <color theme="1" tint="0.499984740745262"/>
      </bottom>
      <diagonal/>
    </border>
    <border>
      <left/>
      <right/>
      <top style="hair">
        <color theme="0" tint="-0.14996795556505021"/>
      </top>
      <bottom style="hair">
        <color theme="1" tint="0.499984740745262"/>
      </bottom>
      <diagonal/>
    </border>
    <border>
      <left/>
      <right/>
      <top/>
      <bottom style="medium">
        <color theme="4"/>
      </bottom>
      <diagonal/>
    </border>
    <border>
      <left/>
      <right/>
      <top style="medium">
        <color theme="4"/>
      </top>
      <bottom style="hair">
        <color theme="0" tint="-0.14996795556505021"/>
      </bottom>
      <diagonal/>
    </border>
    <border>
      <left/>
      <right/>
      <top style="medium">
        <color theme="4"/>
      </top>
      <bottom/>
      <diagonal/>
    </border>
    <border>
      <left/>
      <right/>
      <top style="hair">
        <color theme="1" tint="0.499984740745262"/>
      </top>
      <bottom style="medium">
        <color rgb="FF0070C0"/>
      </bottom>
      <diagonal/>
    </border>
    <border>
      <left/>
      <right/>
      <top/>
      <bottom style="medium">
        <color rgb="FF0070C0"/>
      </bottom>
      <diagonal/>
    </border>
    <border>
      <left/>
      <right/>
      <top style="medium">
        <color rgb="FF0070C0"/>
      </top>
      <bottom style="medium">
        <color rgb="FF0070C0"/>
      </bottom>
      <diagonal/>
    </border>
    <border>
      <left/>
      <right/>
      <top style="hair">
        <color theme="1" tint="0.499984740745262"/>
      </top>
      <bottom/>
      <diagonal/>
    </border>
    <border>
      <left/>
      <right/>
      <top style="medium">
        <color rgb="FF0070C0"/>
      </top>
      <bottom/>
      <diagonal/>
    </border>
    <border>
      <left/>
      <right/>
      <top style="hair">
        <color theme="0" tint="-0.14996795556505021"/>
      </top>
      <bottom style="hair">
        <color theme="0" tint="-0.14996795556505021"/>
      </bottom>
      <diagonal/>
    </border>
    <border>
      <left/>
      <right/>
      <top/>
      <bottom style="hair">
        <color indexed="64"/>
      </bottom>
      <diagonal/>
    </border>
    <border>
      <left/>
      <right/>
      <top style="hair">
        <color indexed="64"/>
      </top>
      <bottom style="hair">
        <color indexed="64"/>
      </bottom>
      <diagonal/>
    </border>
    <border>
      <left/>
      <right/>
      <top style="thin">
        <color rgb="FF0070C0"/>
      </top>
      <bottom/>
      <diagonal/>
    </border>
    <border>
      <left/>
      <right/>
      <top style="hair">
        <color theme="1" tint="0.499984740745262"/>
      </top>
      <bottom style="hair">
        <color theme="0" tint="-0.14996795556505021"/>
      </bottom>
      <diagonal/>
    </border>
  </borders>
  <cellStyleXfs count="14">
    <xf numFmtId="0" fontId="0" fillId="0" borderId="0"/>
    <xf numFmtId="164" fontId="3" fillId="0" borderId="0" applyFont="0" applyFill="0" applyBorder="0" applyAlignment="0" applyProtection="0"/>
    <xf numFmtId="165" fontId="3" fillId="0" borderId="0" applyFont="0" applyFill="0" applyBorder="0" applyAlignment="0" applyProtection="0"/>
    <xf numFmtId="0" fontId="4" fillId="0" borderId="0" applyNumberFormat="0" applyFill="0" applyBorder="0" applyAlignment="0" applyProtection="0"/>
    <xf numFmtId="0" fontId="9" fillId="0" borderId="0"/>
    <xf numFmtId="166" fontId="9" fillId="0" borderId="0" applyFont="0" applyFill="0" applyBorder="0" applyAlignment="0" applyProtection="0"/>
    <xf numFmtId="9" fontId="3" fillId="0" borderId="0" applyFont="0" applyFill="0" applyBorder="0" applyAlignment="0" applyProtection="0"/>
    <xf numFmtId="0" fontId="17" fillId="0" borderId="0"/>
    <xf numFmtId="0" fontId="39" fillId="0" borderId="0"/>
    <xf numFmtId="0" fontId="22" fillId="0" borderId="0"/>
    <xf numFmtId="9" fontId="39" fillId="0" borderId="0" applyFont="0" applyFill="0" applyBorder="0" applyAlignment="0" applyProtection="0"/>
    <xf numFmtId="0" fontId="40" fillId="0" borderId="0" applyNumberFormat="0" applyFill="0" applyBorder="0" applyProtection="0">
      <alignment horizontal="left"/>
    </xf>
    <xf numFmtId="9" fontId="22" fillId="0" borderId="0" applyFont="0" applyFill="0" applyBorder="0" applyAlignment="0" applyProtection="0"/>
    <xf numFmtId="0" fontId="17" fillId="0" borderId="0"/>
  </cellStyleXfs>
  <cellXfs count="899">
    <xf numFmtId="0" fontId="0" fillId="0" borderId="0" xfId="0"/>
    <xf numFmtId="0" fontId="5" fillId="0" borderId="0" xfId="0" applyFont="1"/>
    <xf numFmtId="0" fontId="7" fillId="0" borderId="0" xfId="0" applyFont="1"/>
    <xf numFmtId="0" fontId="10" fillId="0" borderId="0" xfId="0" applyFont="1"/>
    <xf numFmtId="0" fontId="8" fillId="7" borderId="0" xfId="0" applyFont="1" applyFill="1" applyAlignment="1">
      <alignment horizontal="left"/>
    </xf>
    <xf numFmtId="0" fontId="8" fillId="7" borderId="0" xfId="0" applyFont="1" applyFill="1" applyAlignment="1">
      <alignment horizontal="right"/>
    </xf>
    <xf numFmtId="167" fontId="13" fillId="0" borderId="0" xfId="5" applyNumberFormat="1" applyFont="1" applyFill="1" applyBorder="1" applyAlignment="1">
      <alignment horizontal="right" vertical="center"/>
    </xf>
    <xf numFmtId="0" fontId="8" fillId="6" borderId="9" xfId="4" applyFont="1" applyFill="1" applyBorder="1"/>
    <xf numFmtId="0" fontId="8" fillId="7" borderId="9" xfId="4" applyFont="1" applyFill="1" applyBorder="1"/>
    <xf numFmtId="0" fontId="8" fillId="7" borderId="9" xfId="4" applyFont="1" applyFill="1" applyBorder="1" applyAlignment="1">
      <alignment horizontal="left" vertical="center"/>
    </xf>
    <xf numFmtId="0" fontId="8" fillId="0" borderId="0" xfId="0" applyFont="1" applyAlignment="1">
      <alignment horizontal="center" vertical="center"/>
    </xf>
    <xf numFmtId="167" fontId="8" fillId="9" borderId="9" xfId="5" applyNumberFormat="1" applyFont="1" applyFill="1" applyBorder="1" applyAlignment="1">
      <alignment horizontal="right" vertical="center"/>
    </xf>
    <xf numFmtId="0" fontId="11" fillId="3" borderId="9" xfId="4" applyFont="1" applyFill="1" applyBorder="1"/>
    <xf numFmtId="165" fontId="13" fillId="0" borderId="0" xfId="5" applyNumberFormat="1" applyFont="1" applyFill="1" applyBorder="1" applyAlignment="1">
      <alignment horizontal="right" vertical="center"/>
    </xf>
    <xf numFmtId="165" fontId="8" fillId="9" borderId="9" xfId="5" applyNumberFormat="1" applyFont="1" applyFill="1" applyBorder="1" applyAlignment="1">
      <alignment horizontal="right" vertical="center"/>
    </xf>
    <xf numFmtId="0" fontId="8" fillId="9" borderId="9" xfId="4" applyFont="1" applyFill="1" applyBorder="1"/>
    <xf numFmtId="0" fontId="8" fillId="7" borderId="10" xfId="4" applyFont="1" applyFill="1" applyBorder="1"/>
    <xf numFmtId="165" fontId="8" fillId="7" borderId="10" xfId="5" applyNumberFormat="1" applyFont="1" applyFill="1" applyBorder="1" applyAlignment="1">
      <alignment horizontal="right" vertical="center"/>
    </xf>
    <xf numFmtId="0" fontId="8" fillId="0" borderId="0" xfId="0" applyFont="1"/>
    <xf numFmtId="0" fontId="11" fillId="0" borderId="0" xfId="0" applyFont="1"/>
    <xf numFmtId="0" fontId="11" fillId="3" borderId="10" xfId="4" applyFont="1" applyFill="1" applyBorder="1"/>
    <xf numFmtId="0" fontId="8" fillId="7" borderId="8" xfId="4" applyFont="1" applyFill="1" applyBorder="1"/>
    <xf numFmtId="165" fontId="13" fillId="7" borderId="8" xfId="5" applyNumberFormat="1" applyFont="1" applyFill="1" applyBorder="1" applyAlignment="1">
      <alignment horizontal="right" vertical="center"/>
    </xf>
    <xf numFmtId="0" fontId="5" fillId="0" borderId="0" xfId="4" applyFont="1" applyAlignment="1">
      <alignment horizontal="left" indent="1"/>
    </xf>
    <xf numFmtId="165" fontId="13" fillId="11" borderId="0" xfId="5" applyNumberFormat="1" applyFont="1" applyFill="1" applyBorder="1" applyAlignment="1">
      <alignment horizontal="right" vertical="center"/>
    </xf>
    <xf numFmtId="0" fontId="0" fillId="11" borderId="0" xfId="0" applyFill="1"/>
    <xf numFmtId="0" fontId="8" fillId="11" borderId="0" xfId="0" applyFont="1" applyFill="1" applyAlignment="1">
      <alignment horizontal="right"/>
    </xf>
    <xf numFmtId="165" fontId="8" fillId="11" borderId="0" xfId="5" applyNumberFormat="1" applyFont="1" applyFill="1" applyBorder="1" applyAlignment="1">
      <alignment horizontal="right" vertical="center"/>
    </xf>
    <xf numFmtId="165" fontId="11" fillId="11" borderId="0" xfId="5" applyNumberFormat="1" applyFont="1" applyFill="1" applyBorder="1" applyAlignment="1">
      <alignment horizontal="right" vertical="center"/>
    </xf>
    <xf numFmtId="165" fontId="14" fillId="11" borderId="0" xfId="5" applyNumberFormat="1" applyFont="1" applyFill="1" applyBorder="1" applyAlignment="1">
      <alignment horizontal="right" vertical="center"/>
    </xf>
    <xf numFmtId="0" fontId="16" fillId="0" borderId="0" xfId="0" applyFont="1"/>
    <xf numFmtId="0" fontId="5" fillId="0" borderId="0" xfId="4" applyFont="1"/>
    <xf numFmtId="167" fontId="0" fillId="0" borderId="0" xfId="0" applyNumberFormat="1"/>
    <xf numFmtId="167" fontId="8" fillId="7" borderId="0" xfId="0" applyNumberFormat="1" applyFont="1" applyFill="1" applyAlignment="1">
      <alignment horizontal="right"/>
    </xf>
    <xf numFmtId="167" fontId="13" fillId="7" borderId="8" xfId="5" applyNumberFormat="1" applyFont="1" applyFill="1" applyBorder="1" applyAlignment="1">
      <alignment horizontal="right" vertical="center"/>
    </xf>
    <xf numFmtId="167" fontId="8" fillId="7" borderId="10" xfId="5" applyNumberFormat="1" applyFont="1" applyFill="1" applyBorder="1" applyAlignment="1">
      <alignment horizontal="right" vertical="center"/>
    </xf>
    <xf numFmtId="168" fontId="12" fillId="0" borderId="0" xfId="5" applyNumberFormat="1" applyFont="1" applyFill="1" applyBorder="1" applyAlignment="1">
      <alignment horizontal="right" vertical="center" indent="1"/>
    </xf>
    <xf numFmtId="0" fontId="16" fillId="0" borderId="0" xfId="4" applyFont="1"/>
    <xf numFmtId="0" fontId="8" fillId="7" borderId="0" xfId="0" applyFont="1" applyFill="1" applyAlignment="1">
      <alignment horizontal="right" wrapText="1"/>
    </xf>
    <xf numFmtId="0" fontId="0" fillId="0" borderId="0" xfId="4" applyFont="1"/>
    <xf numFmtId="0" fontId="7" fillId="0" borderId="0" xfId="4" applyFont="1"/>
    <xf numFmtId="0" fontId="8" fillId="3" borderId="0" xfId="0" applyFont="1" applyFill="1" applyAlignment="1">
      <alignment horizontal="left"/>
    </xf>
    <xf numFmtId="0" fontId="8" fillId="3" borderId="0" xfId="0" applyFont="1" applyFill="1" applyAlignment="1">
      <alignment horizontal="right" wrapText="1"/>
    </xf>
    <xf numFmtId="0" fontId="8" fillId="13" borderId="0" xfId="0" applyFont="1" applyFill="1" applyAlignment="1">
      <alignment horizontal="right" wrapText="1"/>
    </xf>
    <xf numFmtId="0" fontId="8" fillId="14" borderId="0" xfId="0" applyFont="1" applyFill="1" applyAlignment="1">
      <alignment horizontal="left"/>
    </xf>
    <xf numFmtId="0" fontId="14" fillId="0" borderId="0" xfId="0" applyFont="1"/>
    <xf numFmtId="0" fontId="14" fillId="0" borderId="0" xfId="4" applyFont="1"/>
    <xf numFmtId="0" fontId="8" fillId="0" borderId="0" xfId="4" applyFont="1"/>
    <xf numFmtId="0" fontId="18" fillId="0" borderId="7" xfId="4" applyFont="1" applyBorder="1" applyAlignment="1">
      <alignment horizontal="left" indent="1"/>
    </xf>
    <xf numFmtId="0" fontId="18" fillId="0" borderId="0" xfId="0" applyFont="1"/>
    <xf numFmtId="165" fontId="18" fillId="11" borderId="0" xfId="5" applyNumberFormat="1" applyFont="1" applyFill="1" applyBorder="1" applyAlignment="1">
      <alignment horizontal="right" vertical="center"/>
    </xf>
    <xf numFmtId="0" fontId="18" fillId="0" borderId="9" xfId="4" applyFont="1" applyBorder="1" applyAlignment="1">
      <alignment horizontal="left" indent="1"/>
    </xf>
    <xf numFmtId="165" fontId="18" fillId="0" borderId="9" xfId="5" applyNumberFormat="1" applyFont="1" applyFill="1" applyBorder="1" applyAlignment="1">
      <alignment horizontal="right" vertical="center"/>
    </xf>
    <xf numFmtId="167" fontId="18" fillId="0" borderId="9" xfId="5" applyNumberFormat="1" applyFont="1" applyFill="1" applyBorder="1" applyAlignment="1">
      <alignment horizontal="right" vertical="center"/>
    </xf>
    <xf numFmtId="0" fontId="18" fillId="0" borderId="9" xfId="4" applyFont="1" applyBorder="1"/>
    <xf numFmtId="0" fontId="14" fillId="11" borderId="0" xfId="0" applyFont="1" applyFill="1"/>
    <xf numFmtId="0" fontId="18" fillId="11" borderId="0" xfId="4" applyFont="1" applyFill="1"/>
    <xf numFmtId="0" fontId="20" fillId="11" borderId="0" xfId="4" applyFont="1" applyFill="1"/>
    <xf numFmtId="0" fontId="18" fillId="11" borderId="0" xfId="0" applyFont="1" applyFill="1"/>
    <xf numFmtId="0" fontId="8" fillId="7" borderId="11" xfId="4" applyFont="1" applyFill="1" applyBorder="1"/>
    <xf numFmtId="0" fontId="20" fillId="2" borderId="15" xfId="0" applyFont="1" applyFill="1" applyBorder="1" applyAlignment="1">
      <alignment vertical="center"/>
    </xf>
    <xf numFmtId="170" fontId="18" fillId="0" borderId="0" xfId="5" applyNumberFormat="1" applyFont="1" applyFill="1" applyBorder="1" applyAlignment="1">
      <alignment horizontal="right" vertical="center" indent="1"/>
    </xf>
    <xf numFmtId="0" fontId="21" fillId="0" borderId="0" xfId="0" applyFont="1"/>
    <xf numFmtId="0" fontId="19" fillId="11" borderId="0" xfId="4" applyFont="1" applyFill="1" applyAlignment="1">
      <alignment horizontal="left" indent="1"/>
    </xf>
    <xf numFmtId="171" fontId="18" fillId="0" borderId="0" xfId="0" applyNumberFormat="1" applyFont="1" applyAlignment="1">
      <alignment horizontal="right"/>
    </xf>
    <xf numFmtId="0" fontId="8" fillId="7" borderId="0" xfId="4" applyFont="1" applyFill="1"/>
    <xf numFmtId="169" fontId="8" fillId="7" borderId="0" xfId="5" applyNumberFormat="1" applyFont="1" applyFill="1" applyBorder="1" applyAlignment="1">
      <alignment horizontal="right" vertical="center" indent="2"/>
    </xf>
    <xf numFmtId="171" fontId="20" fillId="15" borderId="18" xfId="0" applyNumberFormat="1" applyFont="1" applyFill="1" applyBorder="1" applyAlignment="1">
      <alignment horizontal="right"/>
    </xf>
    <xf numFmtId="171" fontId="18" fillId="0" borderId="0" xfId="0" applyNumberFormat="1" applyFont="1" applyAlignment="1">
      <alignment horizontal="left"/>
    </xf>
    <xf numFmtId="167" fontId="18" fillId="0" borderId="0" xfId="0" applyNumberFormat="1" applyFont="1" applyAlignment="1">
      <alignment horizontal="right"/>
    </xf>
    <xf numFmtId="0" fontId="8" fillId="7" borderId="0" xfId="0" applyFont="1" applyFill="1" applyAlignment="1">
      <alignment vertical="center"/>
    </xf>
    <xf numFmtId="0" fontId="8" fillId="3" borderId="0" xfId="0" applyFont="1" applyFill="1" applyAlignment="1">
      <alignment vertical="center"/>
    </xf>
    <xf numFmtId="0" fontId="0" fillId="16" borderId="0" xfId="0" applyFill="1" applyAlignment="1">
      <alignment horizontal="left"/>
    </xf>
    <xf numFmtId="0" fontId="0" fillId="16" borderId="0" xfId="0" applyFill="1"/>
    <xf numFmtId="0" fontId="0" fillId="16" borderId="0" xfId="6" applyNumberFormat="1" applyFont="1" applyFill="1"/>
    <xf numFmtId="4" fontId="5" fillId="0" borderId="0" xfId="0" applyNumberFormat="1" applyFont="1"/>
    <xf numFmtId="4" fontId="15" fillId="0" borderId="0" xfId="0" quotePrefix="1" applyNumberFormat="1" applyFont="1" applyAlignment="1">
      <alignment horizontal="right"/>
    </xf>
    <xf numFmtId="0" fontId="24" fillId="0" borderId="0" xfId="0" applyFont="1"/>
    <xf numFmtId="4" fontId="25" fillId="0" borderId="0" xfId="0" applyNumberFormat="1" applyFont="1"/>
    <xf numFmtId="173" fontId="26" fillId="0" borderId="0" xfId="0" applyNumberFormat="1" applyFont="1"/>
    <xf numFmtId="4" fontId="27" fillId="0" borderId="0" xfId="0" quotePrefix="1" applyNumberFormat="1" applyFont="1" applyAlignment="1">
      <alignment horizontal="right"/>
    </xf>
    <xf numFmtId="173" fontId="5" fillId="0" borderId="0" xfId="0" applyNumberFormat="1" applyFont="1"/>
    <xf numFmtId="4" fontId="5" fillId="0" borderId="0" xfId="0" applyNumberFormat="1" applyFont="1" applyAlignment="1">
      <alignment horizontal="right"/>
    </xf>
    <xf numFmtId="0" fontId="18" fillId="8" borderId="9" xfId="4" applyFont="1" applyFill="1" applyBorder="1"/>
    <xf numFmtId="0" fontId="18" fillId="5" borderId="9" xfId="4" applyFont="1" applyFill="1" applyBorder="1"/>
    <xf numFmtId="0" fontId="20" fillId="0" borderId="9" xfId="4" applyFont="1" applyBorder="1"/>
    <xf numFmtId="0" fontId="20" fillId="0" borderId="0" xfId="0" applyFont="1"/>
    <xf numFmtId="165" fontId="20" fillId="11" borderId="0" xfId="5" applyNumberFormat="1" applyFont="1" applyFill="1" applyBorder="1" applyAlignment="1">
      <alignment horizontal="right" vertical="center"/>
    </xf>
    <xf numFmtId="0" fontId="20" fillId="5" borderId="9" xfId="4" applyFont="1" applyFill="1" applyBorder="1"/>
    <xf numFmtId="0" fontId="28" fillId="0" borderId="0" xfId="0" applyFont="1"/>
    <xf numFmtId="173" fontId="24" fillId="0" borderId="0" xfId="0" applyNumberFormat="1" applyFont="1" applyAlignment="1">
      <alignment horizontal="centerContinuous"/>
    </xf>
    <xf numFmtId="0" fontId="0" fillId="0" borderId="0" xfId="0" applyAlignment="1">
      <alignment horizontal="centerContinuous"/>
    </xf>
    <xf numFmtId="0" fontId="18" fillId="5" borderId="9" xfId="4" applyFont="1" applyFill="1" applyBorder="1" applyAlignment="1">
      <alignment horizontal="left" indent="1"/>
    </xf>
    <xf numFmtId="0" fontId="8" fillId="3" borderId="9" xfId="4" applyFont="1" applyFill="1" applyBorder="1"/>
    <xf numFmtId="0" fontId="8" fillId="3" borderId="0" xfId="0" applyFont="1" applyFill="1" applyAlignment="1">
      <alignment horizontal="left" wrapText="1"/>
    </xf>
    <xf numFmtId="169" fontId="18" fillId="11" borderId="0" xfId="5" applyNumberFormat="1" applyFont="1" applyFill="1" applyBorder="1" applyAlignment="1">
      <alignment vertical="center"/>
    </xf>
    <xf numFmtId="0" fontId="11" fillId="7" borderId="0" xfId="0" applyFont="1" applyFill="1" applyAlignment="1">
      <alignment horizontal="left"/>
    </xf>
    <xf numFmtId="0" fontId="11" fillId="3" borderId="0" xfId="0" applyFont="1" applyFill="1" applyAlignment="1">
      <alignment horizontal="left" wrapText="1"/>
    </xf>
    <xf numFmtId="0" fontId="30" fillId="0" borderId="0" xfId="7" applyFont="1"/>
    <xf numFmtId="0" fontId="30" fillId="12" borderId="0" xfId="7" applyFont="1" applyFill="1"/>
    <xf numFmtId="0" fontId="31" fillId="0" borderId="0" xfId="0" applyFont="1"/>
    <xf numFmtId="167" fontId="18" fillId="18" borderId="0" xfId="5" applyNumberFormat="1" applyFont="1" applyFill="1" applyBorder="1" applyAlignment="1">
      <alignment vertical="center"/>
    </xf>
    <xf numFmtId="0" fontId="32" fillId="0" borderId="0" xfId="0" applyFont="1"/>
    <xf numFmtId="0" fontId="18" fillId="0" borderId="0" xfId="4" applyFont="1"/>
    <xf numFmtId="0" fontId="20" fillId="2" borderId="0" xfId="0" applyFont="1" applyFill="1" applyAlignment="1">
      <alignment vertical="center"/>
    </xf>
    <xf numFmtId="0" fontId="8" fillId="0" borderId="0" xfId="0" applyFont="1" applyAlignment="1">
      <alignment horizontal="right" wrapText="1"/>
    </xf>
    <xf numFmtId="171" fontId="20" fillId="0" borderId="0" xfId="0" applyNumberFormat="1" applyFont="1" applyAlignment="1">
      <alignment horizontal="right"/>
    </xf>
    <xf numFmtId="171" fontId="8" fillId="0" borderId="0" xfId="0" applyNumberFormat="1" applyFont="1" applyAlignment="1">
      <alignment horizontal="right"/>
    </xf>
    <xf numFmtId="169" fontId="20" fillId="15" borderId="18" xfId="5" applyNumberFormat="1" applyFont="1" applyFill="1" applyBorder="1" applyAlignment="1">
      <alignment vertical="center"/>
    </xf>
    <xf numFmtId="167" fontId="20" fillId="15" borderId="18" xfId="0" applyNumberFormat="1" applyFont="1" applyFill="1" applyBorder="1"/>
    <xf numFmtId="169" fontId="20" fillId="15" borderId="0" xfId="5" applyNumberFormat="1" applyFont="1" applyFill="1" applyBorder="1" applyAlignment="1">
      <alignment vertical="center"/>
    </xf>
    <xf numFmtId="167" fontId="20" fillId="15" borderId="0" xfId="0" applyNumberFormat="1" applyFont="1" applyFill="1"/>
    <xf numFmtId="169" fontId="8" fillId="7" borderId="0" xfId="5" applyNumberFormat="1" applyFont="1" applyFill="1" applyBorder="1" applyAlignment="1">
      <alignment vertical="center"/>
    </xf>
    <xf numFmtId="167" fontId="18" fillId="18" borderId="21" xfId="5" applyNumberFormat="1" applyFont="1" applyFill="1" applyBorder="1" applyAlignment="1">
      <alignment vertical="center"/>
    </xf>
    <xf numFmtId="169" fontId="18" fillId="0" borderId="0" xfId="5" applyNumberFormat="1" applyFont="1" applyFill="1" applyBorder="1" applyAlignment="1">
      <alignment horizontal="right" vertical="center" indent="2"/>
    </xf>
    <xf numFmtId="169" fontId="8" fillId="7" borderId="15" xfId="5" applyNumberFormat="1" applyFont="1" applyFill="1" applyBorder="1" applyAlignment="1">
      <alignment horizontal="right" vertical="center" indent="2"/>
    </xf>
    <xf numFmtId="0" fontId="20" fillId="0" borderId="0" xfId="4" applyFont="1"/>
    <xf numFmtId="169" fontId="18" fillId="11" borderId="0" xfId="5" applyNumberFormat="1" applyFont="1" applyFill="1" applyBorder="1" applyAlignment="1">
      <alignment horizontal="right" vertical="center"/>
    </xf>
    <xf numFmtId="167" fontId="8" fillId="7" borderId="0" xfId="0" applyNumberFormat="1" applyFont="1" applyFill="1" applyAlignment="1">
      <alignment vertical="center"/>
    </xf>
    <xf numFmtId="167" fontId="18" fillId="18" borderId="0" xfId="5" applyNumberFormat="1" applyFont="1" applyFill="1" applyBorder="1" applyAlignment="1">
      <alignment horizontal="right" vertical="center"/>
    </xf>
    <xf numFmtId="4" fontId="0" fillId="0" borderId="0" xfId="0" applyNumberFormat="1"/>
    <xf numFmtId="174" fontId="8" fillId="3" borderId="20" xfId="0" applyNumberFormat="1" applyFont="1" applyFill="1" applyBorder="1" applyAlignment="1">
      <alignment horizontal="centerContinuous"/>
    </xf>
    <xf numFmtId="174" fontId="14" fillId="3" borderId="20" xfId="0" applyNumberFormat="1" applyFont="1" applyFill="1" applyBorder="1" applyAlignment="1">
      <alignment horizontal="centerContinuous"/>
    </xf>
    <xf numFmtId="4" fontId="19" fillId="0" borderId="0" xfId="0" applyNumberFormat="1" applyFont="1"/>
    <xf numFmtId="4" fontId="8" fillId="3" borderId="0" xfId="0" applyNumberFormat="1" applyFont="1" applyFill="1" applyAlignment="1">
      <alignment horizontal="right" wrapText="1"/>
    </xf>
    <xf numFmtId="4" fontId="18" fillId="11" borderId="0" xfId="0" applyNumberFormat="1" applyFont="1" applyFill="1"/>
    <xf numFmtId="3" fontId="18" fillId="11" borderId="0" xfId="0" applyNumberFormat="1" applyFont="1" applyFill="1" applyAlignment="1">
      <alignment horizontal="right"/>
    </xf>
    <xf numFmtId="10" fontId="18" fillId="11" borderId="0" xfId="6" applyNumberFormat="1" applyFont="1" applyFill="1" applyBorder="1" applyAlignment="1">
      <alignment horizontal="right"/>
    </xf>
    <xf numFmtId="4" fontId="5" fillId="0" borderId="0" xfId="0" applyNumberFormat="1" applyFont="1" applyAlignment="1">
      <alignment vertical="center"/>
    </xf>
    <xf numFmtId="172" fontId="8" fillId="3" borderId="0" xfId="6" applyNumberFormat="1" applyFont="1" applyFill="1" applyBorder="1" applyAlignment="1">
      <alignment horizontal="right"/>
    </xf>
    <xf numFmtId="3" fontId="14" fillId="3" borderId="0" xfId="0" applyNumberFormat="1" applyFont="1" applyFill="1" applyAlignment="1">
      <alignment horizontal="right"/>
    </xf>
    <xf numFmtId="0" fontId="19" fillId="0" borderId="0" xfId="0" applyFont="1"/>
    <xf numFmtId="3" fontId="8" fillId="3" borderId="0" xfId="0" applyNumberFormat="1" applyFont="1" applyFill="1" applyAlignment="1">
      <alignment horizontal="right" vertical="center"/>
    </xf>
    <xf numFmtId="172" fontId="8" fillId="3" borderId="0" xfId="6" applyNumberFormat="1" applyFont="1" applyFill="1" applyBorder="1" applyAlignment="1">
      <alignment horizontal="right" vertical="center"/>
    </xf>
    <xf numFmtId="0" fontId="22" fillId="0" borderId="0" xfId="0" applyFont="1"/>
    <xf numFmtId="0" fontId="35" fillId="7" borderId="0" xfId="0" applyFont="1" applyFill="1" applyAlignment="1">
      <alignment horizontal="left"/>
    </xf>
    <xf numFmtId="0" fontId="35" fillId="3" borderId="0" xfId="0" applyFont="1" applyFill="1" applyAlignment="1">
      <alignment horizontal="left" wrapText="1"/>
    </xf>
    <xf numFmtId="0" fontId="10" fillId="0" borderId="0" xfId="4" applyFont="1"/>
    <xf numFmtId="0" fontId="16" fillId="0" borderId="0" xfId="0" applyFont="1" applyAlignment="1">
      <alignment vertical="center"/>
    </xf>
    <xf numFmtId="0" fontId="11" fillId="7" borderId="0" xfId="4" applyFont="1" applyFill="1"/>
    <xf numFmtId="0" fontId="19" fillId="0" borderId="0" xfId="4" applyFont="1"/>
    <xf numFmtId="173" fontId="34" fillId="0" borderId="0" xfId="0" applyNumberFormat="1" applyFont="1" applyAlignment="1">
      <alignment horizontal="centerContinuous"/>
    </xf>
    <xf numFmtId="0" fontId="18" fillId="0" borderId="0" xfId="0" applyFont="1" applyAlignment="1">
      <alignment horizontal="left" indent="1"/>
    </xf>
    <xf numFmtId="0" fontId="18" fillId="0" borderId="14" xfId="0" applyFont="1" applyBorder="1" applyAlignment="1">
      <alignment horizontal="left" indent="1"/>
    </xf>
    <xf numFmtId="0" fontId="8" fillId="0" borderId="0" xfId="0" applyFont="1" applyAlignment="1">
      <alignment vertical="center"/>
    </xf>
    <xf numFmtId="0" fontId="20" fillId="2" borderId="15" xfId="0" applyFont="1" applyFill="1" applyBorder="1"/>
    <xf numFmtId="0" fontId="8" fillId="7" borderId="0" xfId="0" applyFont="1" applyFill="1" applyAlignment="1">
      <alignment horizontal="left" vertical="center"/>
    </xf>
    <xf numFmtId="171" fontId="8" fillId="3" borderId="0" xfId="0" applyNumberFormat="1" applyFont="1" applyFill="1" applyAlignment="1">
      <alignment horizontal="right" vertical="center"/>
    </xf>
    <xf numFmtId="0" fontId="33" fillId="0" borderId="0" xfId="4" applyFont="1"/>
    <xf numFmtId="171" fontId="11" fillId="0" borderId="0" xfId="0" applyNumberFormat="1" applyFont="1" applyAlignment="1">
      <alignment horizontal="right"/>
    </xf>
    <xf numFmtId="0" fontId="8" fillId="7" borderId="0" xfId="4" applyFont="1" applyFill="1" applyAlignment="1">
      <alignment vertical="center"/>
    </xf>
    <xf numFmtId="169" fontId="11" fillId="7" borderId="0" xfId="5" applyNumberFormat="1" applyFont="1" applyFill="1" applyBorder="1" applyAlignment="1">
      <alignment horizontal="right" vertical="center" indent="1"/>
    </xf>
    <xf numFmtId="167" fontId="11" fillId="7" borderId="0" xfId="0" applyNumberFormat="1" applyFont="1" applyFill="1" applyAlignment="1">
      <alignment horizontal="right" indent="1"/>
    </xf>
    <xf numFmtId="0" fontId="8" fillId="3" borderId="0" xfId="4" applyFont="1" applyFill="1" applyAlignment="1">
      <alignment vertical="center"/>
    </xf>
    <xf numFmtId="0" fontId="11" fillId="3" borderId="0" xfId="4" applyFont="1" applyFill="1" applyAlignment="1">
      <alignment horizontal="left" indent="1"/>
    </xf>
    <xf numFmtId="171" fontId="11" fillId="3" borderId="0" xfId="0" applyNumberFormat="1" applyFont="1" applyFill="1" applyAlignment="1">
      <alignment horizontal="right" indent="1"/>
    </xf>
    <xf numFmtId="0" fontId="23" fillId="0" borderId="0" xfId="0" applyFont="1"/>
    <xf numFmtId="175" fontId="23" fillId="0" borderId="0" xfId="0" applyNumberFormat="1" applyFont="1"/>
    <xf numFmtId="167" fontId="10" fillId="0" borderId="0" xfId="0" applyNumberFormat="1" applyFont="1"/>
    <xf numFmtId="0" fontId="10" fillId="11" borderId="0" xfId="0" applyFont="1" applyFill="1"/>
    <xf numFmtId="0" fontId="10" fillId="0" borderId="0" xfId="0" applyFont="1" applyAlignment="1">
      <alignment horizontal="right"/>
    </xf>
    <xf numFmtId="167" fontId="22" fillId="0" borderId="0" xfId="0" applyNumberFormat="1" applyFont="1"/>
    <xf numFmtId="0" fontId="22" fillId="11" borderId="0" xfId="0" applyFont="1" applyFill="1"/>
    <xf numFmtId="173" fontId="10" fillId="0" borderId="0" xfId="0" applyNumberFormat="1" applyFont="1" applyAlignment="1">
      <alignment horizontal="right"/>
    </xf>
    <xf numFmtId="0" fontId="18" fillId="0" borderId="0" xfId="4" applyFont="1" applyAlignment="1">
      <alignment horizontal="left"/>
    </xf>
    <xf numFmtId="169" fontId="18" fillId="11" borderId="14" xfId="5" applyNumberFormat="1" applyFont="1" applyFill="1" applyBorder="1" applyAlignment="1">
      <alignment vertical="center"/>
    </xf>
    <xf numFmtId="171" fontId="19" fillId="0" borderId="0" xfId="0" applyNumberFormat="1" applyFont="1" applyAlignment="1">
      <alignment horizontal="right" indent="1"/>
    </xf>
    <xf numFmtId="0" fontId="5" fillId="0" borderId="0" xfId="0" applyFont="1" applyAlignment="1">
      <alignment horizontal="right" indent="1"/>
    </xf>
    <xf numFmtId="171" fontId="19" fillId="0" borderId="0" xfId="0" applyNumberFormat="1" applyFont="1" applyAlignment="1">
      <alignment horizontal="left"/>
    </xf>
    <xf numFmtId="0" fontId="11" fillId="0" borderId="0" xfId="4" applyFont="1"/>
    <xf numFmtId="169" fontId="19" fillId="11" borderId="0" xfId="5" applyNumberFormat="1" applyFont="1" applyFill="1" applyBorder="1" applyAlignment="1">
      <alignment horizontal="right" vertical="center" indent="1"/>
    </xf>
    <xf numFmtId="167" fontId="19" fillId="18" borderId="0" xfId="5" applyNumberFormat="1" applyFont="1" applyFill="1" applyBorder="1" applyAlignment="1">
      <alignment horizontal="right" vertical="center" indent="1"/>
    </xf>
    <xf numFmtId="169" fontId="0" fillId="0" borderId="0" xfId="0" applyNumberFormat="1"/>
    <xf numFmtId="0" fontId="20" fillId="19" borderId="0" xfId="0" applyFont="1" applyFill="1" applyAlignment="1">
      <alignment horizontal="center"/>
    </xf>
    <xf numFmtId="174" fontId="8" fillId="10" borderId="20" xfId="0" applyNumberFormat="1" applyFont="1" applyFill="1" applyBorder="1" applyAlignment="1">
      <alignment horizontal="centerContinuous"/>
    </xf>
    <xf numFmtId="4" fontId="8" fillId="10" borderId="0" xfId="0" applyNumberFormat="1" applyFont="1" applyFill="1" applyAlignment="1">
      <alignment horizontal="right" wrapText="1"/>
    </xf>
    <xf numFmtId="3" fontId="8" fillId="10" borderId="0" xfId="0" applyNumberFormat="1" applyFont="1" applyFill="1" applyAlignment="1">
      <alignment horizontal="right" vertical="center"/>
    </xf>
    <xf numFmtId="172" fontId="8" fillId="10" borderId="0" xfId="6" applyNumberFormat="1" applyFont="1" applyFill="1" applyBorder="1" applyAlignment="1">
      <alignment horizontal="right" vertical="center"/>
    </xf>
    <xf numFmtId="3" fontId="14" fillId="10" borderId="0" xfId="0" applyNumberFormat="1" applyFont="1" applyFill="1" applyAlignment="1">
      <alignment horizontal="right"/>
    </xf>
    <xf numFmtId="172" fontId="8" fillId="10" borderId="0" xfId="6" applyNumberFormat="1" applyFont="1" applyFill="1" applyBorder="1" applyAlignment="1">
      <alignment horizontal="right"/>
    </xf>
    <xf numFmtId="174" fontId="14" fillId="10" borderId="20" xfId="0" applyNumberFormat="1" applyFont="1" applyFill="1" applyBorder="1" applyAlignment="1">
      <alignment horizontal="centerContinuous"/>
    </xf>
    <xf numFmtId="0" fontId="38" fillId="0" borderId="0" xfId="0" applyFont="1"/>
    <xf numFmtId="176" fontId="23" fillId="0" borderId="0" xfId="5" applyNumberFormat="1" applyFont="1" applyFill="1" applyBorder="1" applyAlignment="1">
      <alignment horizontal="right" vertical="center" indent="1"/>
    </xf>
    <xf numFmtId="0" fontId="24" fillId="0" borderId="0" xfId="0" applyFont="1" applyAlignment="1">
      <alignment wrapText="1"/>
    </xf>
    <xf numFmtId="0" fontId="10" fillId="0" borderId="0" xfId="4" applyFont="1" applyAlignment="1">
      <alignment horizontal="right"/>
    </xf>
    <xf numFmtId="0" fontId="19" fillId="8" borderId="9" xfId="4" applyFont="1" applyFill="1" applyBorder="1"/>
    <xf numFmtId="165" fontId="19" fillId="11" borderId="0" xfId="5" applyNumberFormat="1" applyFont="1" applyFill="1" applyBorder="1" applyAlignment="1">
      <alignment horizontal="right" vertical="center"/>
    </xf>
    <xf numFmtId="179" fontId="19" fillId="0" borderId="0" xfId="5" applyNumberFormat="1" applyFont="1" applyFill="1" applyBorder="1" applyAlignment="1">
      <alignment horizontal="right" vertical="center"/>
    </xf>
    <xf numFmtId="0" fontId="19" fillId="0" borderId="9" xfId="4" applyFont="1" applyBorder="1"/>
    <xf numFmtId="165" fontId="19" fillId="0" borderId="0" xfId="5" applyNumberFormat="1" applyFont="1" applyFill="1" applyBorder="1" applyAlignment="1">
      <alignment horizontal="right" vertical="center"/>
    </xf>
    <xf numFmtId="0" fontId="41" fillId="0" borderId="0" xfId="0" applyFont="1"/>
    <xf numFmtId="0" fontId="22" fillId="0" borderId="0" xfId="0" applyFont="1" applyAlignment="1">
      <alignment horizontal="right"/>
    </xf>
    <xf numFmtId="0" fontId="0" fillId="0" borderId="0" xfId="0" applyAlignment="1">
      <alignment horizontal="right"/>
    </xf>
    <xf numFmtId="0" fontId="8" fillId="7" borderId="0" xfId="0" applyFont="1" applyFill="1" applyAlignment="1">
      <alignment horizontal="center"/>
    </xf>
    <xf numFmtId="165" fontId="13" fillId="0" borderId="0" xfId="5" applyNumberFormat="1" applyFont="1" applyFill="1" applyBorder="1" applyAlignment="1">
      <alignment horizontal="center" vertical="center"/>
    </xf>
    <xf numFmtId="167" fontId="8" fillId="7" borderId="0" xfId="0" applyNumberFormat="1" applyFont="1" applyFill="1" applyAlignment="1">
      <alignment horizontal="center"/>
    </xf>
    <xf numFmtId="0" fontId="0" fillId="0" borderId="0" xfId="0" applyAlignment="1">
      <alignment horizontal="center"/>
    </xf>
    <xf numFmtId="167" fontId="0" fillId="0" borderId="0" xfId="0" applyNumberFormat="1" applyAlignment="1">
      <alignment horizontal="center"/>
    </xf>
    <xf numFmtId="0" fontId="0" fillId="11" borderId="0" xfId="0" applyFill="1" applyAlignment="1">
      <alignment horizontal="center"/>
    </xf>
    <xf numFmtId="0" fontId="8" fillId="7" borderId="0" xfId="0" applyFont="1" applyFill="1" applyAlignment="1">
      <alignment horizontal="center" wrapText="1"/>
    </xf>
    <xf numFmtId="169" fontId="18" fillId="11" borderId="0" xfId="5" applyNumberFormat="1" applyFont="1" applyFill="1" applyBorder="1" applyAlignment="1">
      <alignment horizontal="center" vertical="center"/>
    </xf>
    <xf numFmtId="167" fontId="18" fillId="18" borderId="0" xfId="5" applyNumberFormat="1" applyFont="1" applyFill="1" applyBorder="1" applyAlignment="1">
      <alignment horizontal="center" vertical="center"/>
    </xf>
    <xf numFmtId="169" fontId="19" fillId="11" borderId="0" xfId="5" applyNumberFormat="1" applyFont="1" applyFill="1" applyBorder="1" applyAlignment="1">
      <alignment horizontal="center" vertical="center"/>
    </xf>
    <xf numFmtId="167" fontId="19" fillId="18" borderId="0" xfId="5" applyNumberFormat="1" applyFont="1" applyFill="1" applyBorder="1" applyAlignment="1">
      <alignment horizontal="center" vertical="center"/>
    </xf>
    <xf numFmtId="167" fontId="18" fillId="18" borderId="21" xfId="5" applyNumberFormat="1" applyFont="1" applyFill="1" applyBorder="1" applyAlignment="1">
      <alignment horizontal="center" vertical="center"/>
    </xf>
    <xf numFmtId="169" fontId="20" fillId="15" borderId="18" xfId="5" applyNumberFormat="1" applyFont="1" applyFill="1" applyBorder="1" applyAlignment="1">
      <alignment horizontal="center" vertical="center"/>
    </xf>
    <xf numFmtId="167" fontId="20" fillId="15" borderId="18" xfId="0" applyNumberFormat="1" applyFont="1" applyFill="1" applyBorder="1" applyAlignment="1">
      <alignment horizontal="center"/>
    </xf>
    <xf numFmtId="169" fontId="20" fillId="15" borderId="0" xfId="5" applyNumberFormat="1" applyFont="1" applyFill="1" applyBorder="1" applyAlignment="1">
      <alignment horizontal="center" vertical="center"/>
    </xf>
    <xf numFmtId="167" fontId="20" fillId="15" borderId="0" xfId="0" applyNumberFormat="1" applyFont="1" applyFill="1" applyAlignment="1">
      <alignment horizontal="center"/>
    </xf>
    <xf numFmtId="169" fontId="8" fillId="7" borderId="0" xfId="5" applyNumberFormat="1" applyFont="1" applyFill="1" applyBorder="1" applyAlignment="1">
      <alignment horizontal="center" vertical="center"/>
    </xf>
    <xf numFmtId="167" fontId="8" fillId="7" borderId="0" xfId="0" applyNumberFormat="1" applyFont="1" applyFill="1" applyAlignment="1">
      <alignment horizontal="center" vertical="center"/>
    </xf>
    <xf numFmtId="169" fontId="11" fillId="7" borderId="0" xfId="5" applyNumberFormat="1" applyFont="1" applyFill="1" applyBorder="1" applyAlignment="1">
      <alignment horizontal="center" vertical="center"/>
    </xf>
    <xf numFmtId="167" fontId="11" fillId="7" borderId="0" xfId="0" applyNumberFormat="1" applyFont="1" applyFill="1" applyAlignment="1">
      <alignment horizontal="center"/>
    </xf>
    <xf numFmtId="171" fontId="18" fillId="0" borderId="0" xfId="0" applyNumberFormat="1" applyFont="1" applyAlignment="1">
      <alignment horizontal="center"/>
    </xf>
    <xf numFmtId="171" fontId="19" fillId="0" borderId="0" xfId="0" applyNumberFormat="1" applyFont="1" applyAlignment="1">
      <alignment horizontal="center"/>
    </xf>
    <xf numFmtId="171" fontId="20" fillId="15" borderId="18" xfId="0" applyNumberFormat="1" applyFont="1" applyFill="1" applyBorder="1" applyAlignment="1">
      <alignment horizontal="center"/>
    </xf>
    <xf numFmtId="171" fontId="8" fillId="3" borderId="0" xfId="0" applyNumberFormat="1" applyFont="1" applyFill="1" applyAlignment="1">
      <alignment horizontal="center" vertical="center"/>
    </xf>
    <xf numFmtId="171" fontId="11" fillId="3" borderId="0" xfId="0" applyNumberFormat="1" applyFont="1" applyFill="1" applyAlignment="1">
      <alignment horizontal="center"/>
    </xf>
    <xf numFmtId="0" fontId="8" fillId="3" borderId="0" xfId="0" applyFont="1" applyFill="1" applyAlignment="1">
      <alignment horizontal="center" wrapText="1"/>
    </xf>
    <xf numFmtId="169" fontId="18" fillId="11" borderId="14" xfId="5" applyNumberFormat="1" applyFont="1" applyFill="1" applyBorder="1" applyAlignment="1">
      <alignment horizontal="center" vertical="center"/>
    </xf>
    <xf numFmtId="169" fontId="18" fillId="0" borderId="0" xfId="5" applyNumberFormat="1" applyFont="1" applyFill="1" applyBorder="1" applyAlignment="1">
      <alignment horizontal="center" vertical="center"/>
    </xf>
    <xf numFmtId="169" fontId="8" fillId="7" borderId="15" xfId="5" applyNumberFormat="1" applyFont="1" applyFill="1" applyBorder="1" applyAlignment="1">
      <alignment horizontal="center" vertical="center"/>
    </xf>
    <xf numFmtId="169" fontId="8" fillId="0" borderId="0" xfId="5" applyNumberFormat="1" applyFont="1" applyFill="1" applyBorder="1" applyAlignment="1">
      <alignment horizontal="center" vertical="center"/>
    </xf>
    <xf numFmtId="170" fontId="18" fillId="0" borderId="0" xfId="5" applyNumberFormat="1" applyFont="1" applyFill="1" applyBorder="1" applyAlignment="1">
      <alignment horizontal="center" vertical="center"/>
    </xf>
    <xf numFmtId="170" fontId="8" fillId="3" borderId="0" xfId="5" applyNumberFormat="1" applyFont="1" applyFill="1" applyBorder="1" applyAlignment="1">
      <alignment horizontal="center" vertical="center"/>
    </xf>
    <xf numFmtId="169" fontId="0" fillId="0" borderId="0" xfId="0" applyNumberFormat="1" applyAlignment="1">
      <alignment horizontal="center"/>
    </xf>
    <xf numFmtId="169" fontId="8" fillId="7" borderId="12" xfId="5" applyNumberFormat="1" applyFont="1" applyFill="1" applyBorder="1" applyAlignment="1">
      <alignment horizontal="center" vertical="center"/>
    </xf>
    <xf numFmtId="167" fontId="8" fillId="7" borderId="13" xfId="5" applyNumberFormat="1" applyFont="1" applyFill="1" applyBorder="1" applyAlignment="1">
      <alignment horizontal="center" vertical="center"/>
    </xf>
    <xf numFmtId="175" fontId="23" fillId="0" borderId="0" xfId="0" applyNumberFormat="1" applyFont="1" applyAlignment="1">
      <alignment horizontal="center"/>
    </xf>
    <xf numFmtId="169" fontId="20" fillId="0" borderId="0" xfId="5" applyNumberFormat="1" applyFont="1" applyFill="1" applyBorder="1" applyAlignment="1">
      <alignment horizontal="center" vertical="center"/>
    </xf>
    <xf numFmtId="177" fontId="23" fillId="11" borderId="0" xfId="5" applyNumberFormat="1" applyFont="1" applyFill="1" applyBorder="1" applyAlignment="1">
      <alignment horizontal="center" vertical="center"/>
    </xf>
    <xf numFmtId="173" fontId="24" fillId="0" borderId="0" xfId="0" applyNumberFormat="1" applyFont="1" applyAlignment="1">
      <alignment horizontal="center"/>
    </xf>
    <xf numFmtId="177" fontId="18" fillId="11" borderId="0" xfId="5" applyNumberFormat="1" applyFont="1" applyFill="1" applyBorder="1" applyAlignment="1">
      <alignment horizontal="center" vertical="center"/>
    </xf>
    <xf numFmtId="0" fontId="0" fillId="0" borderId="0" xfId="4" applyFont="1" applyAlignment="1">
      <alignment horizontal="center"/>
    </xf>
    <xf numFmtId="170" fontId="8" fillId="3" borderId="17" xfId="5" applyNumberFormat="1" applyFont="1" applyFill="1" applyBorder="1" applyAlignment="1">
      <alignment horizontal="center" vertical="center"/>
    </xf>
    <xf numFmtId="170" fontId="23" fillId="0" borderId="0" xfId="5" applyNumberFormat="1" applyFont="1" applyFill="1" applyBorder="1" applyAlignment="1">
      <alignment horizontal="center" vertical="center"/>
    </xf>
    <xf numFmtId="178" fontId="23" fillId="0" borderId="0" xfId="5" applyNumberFormat="1" applyFont="1" applyFill="1" applyBorder="1" applyAlignment="1">
      <alignment horizontal="center" vertical="center"/>
    </xf>
    <xf numFmtId="165" fontId="18" fillId="0" borderId="0" xfId="5" applyNumberFormat="1" applyFont="1" applyFill="1" applyBorder="1" applyAlignment="1">
      <alignment horizontal="right" vertical="center"/>
    </xf>
    <xf numFmtId="165" fontId="8" fillId="0" borderId="0" xfId="5" applyNumberFormat="1" applyFont="1" applyFill="1" applyBorder="1" applyAlignment="1">
      <alignment horizontal="right" vertical="center"/>
    </xf>
    <xf numFmtId="0" fontId="22" fillId="0" borderId="0" xfId="0" applyFont="1" applyAlignment="1">
      <alignment horizontal="center"/>
    </xf>
    <xf numFmtId="169" fontId="19" fillId="0" borderId="0" xfId="5" applyNumberFormat="1" applyFont="1" applyFill="1" applyBorder="1" applyAlignment="1">
      <alignment horizontal="center" vertical="center"/>
    </xf>
    <xf numFmtId="177" fontId="23" fillId="0" borderId="0" xfId="5" applyNumberFormat="1" applyFont="1" applyFill="1" applyBorder="1" applyAlignment="1">
      <alignment horizontal="center" vertical="center"/>
    </xf>
    <xf numFmtId="177" fontId="18" fillId="0" borderId="0" xfId="5" applyNumberFormat="1" applyFont="1" applyFill="1" applyBorder="1" applyAlignment="1">
      <alignment horizontal="center" vertical="center"/>
    </xf>
    <xf numFmtId="0" fontId="14" fillId="20" borderId="9" xfId="4" applyFont="1" applyFill="1" applyBorder="1"/>
    <xf numFmtId="0" fontId="8" fillId="21" borderId="9" xfId="4" applyFont="1" applyFill="1" applyBorder="1"/>
    <xf numFmtId="0" fontId="18" fillId="0" borderId="0" xfId="0" applyFont="1" applyAlignment="1">
      <alignment horizontal="right"/>
    </xf>
    <xf numFmtId="0" fontId="20" fillId="0" borderId="0" xfId="0" applyFont="1" applyAlignment="1">
      <alignment horizontal="right"/>
    </xf>
    <xf numFmtId="0" fontId="6" fillId="0" borderId="0" xfId="0" applyFont="1" applyAlignment="1">
      <alignment horizontal="right"/>
    </xf>
    <xf numFmtId="0" fontId="19" fillId="0" borderId="0" xfId="0" applyFont="1" applyAlignment="1">
      <alignment horizontal="right"/>
    </xf>
    <xf numFmtId="0" fontId="8" fillId="0" borderId="0" xfId="0" applyFont="1" applyAlignment="1">
      <alignment horizontal="right"/>
    </xf>
    <xf numFmtId="0" fontId="8" fillId="0" borderId="0" xfId="0" applyFont="1" applyAlignment="1">
      <alignment horizontal="right" vertical="center"/>
    </xf>
    <xf numFmtId="165" fontId="13" fillId="0" borderId="0" xfId="5" applyNumberFormat="1" applyFont="1" applyFill="1" applyBorder="1" applyAlignment="1">
      <alignment horizontal="right"/>
    </xf>
    <xf numFmtId="167" fontId="13" fillId="0" borderId="0" xfId="5" applyNumberFormat="1" applyFont="1" applyFill="1" applyBorder="1" applyAlignment="1">
      <alignment horizontal="right"/>
    </xf>
    <xf numFmtId="165" fontId="13" fillId="11" borderId="0" xfId="5" applyNumberFormat="1" applyFont="1" applyFill="1" applyBorder="1" applyAlignment="1">
      <alignment horizontal="right" indent="1"/>
    </xf>
    <xf numFmtId="165" fontId="20" fillId="0" borderId="0" xfId="5" applyNumberFormat="1" applyFont="1" applyFill="1" applyBorder="1" applyAlignment="1">
      <alignment horizontal="right" vertical="center"/>
    </xf>
    <xf numFmtId="165" fontId="11" fillId="0" borderId="0" xfId="5" applyNumberFormat="1" applyFont="1" applyFill="1" applyBorder="1" applyAlignment="1">
      <alignment horizontal="right" vertical="center"/>
    </xf>
    <xf numFmtId="0" fontId="11" fillId="0" borderId="0" xfId="0" applyFont="1" applyAlignment="1">
      <alignment horizontal="right"/>
    </xf>
    <xf numFmtId="181" fontId="18" fillId="0" borderId="0" xfId="5" applyNumberFormat="1" applyFont="1" applyFill="1" applyBorder="1" applyAlignment="1">
      <alignment horizontal="right" vertical="center"/>
    </xf>
    <xf numFmtId="181" fontId="8" fillId="0" borderId="0" xfId="5" applyNumberFormat="1" applyFont="1" applyFill="1" applyBorder="1" applyAlignment="1">
      <alignment horizontal="right" vertical="center"/>
    </xf>
    <xf numFmtId="0" fontId="0" fillId="11" borderId="0" xfId="0" applyFill="1" applyAlignment="1">
      <alignment horizontal="right"/>
    </xf>
    <xf numFmtId="181" fontId="14" fillId="0" borderId="0" xfId="5" applyNumberFormat="1" applyFont="1" applyFill="1" applyBorder="1" applyAlignment="1">
      <alignment horizontal="right" vertical="center"/>
    </xf>
    <xf numFmtId="165" fontId="18" fillId="0" borderId="8" xfId="5" applyNumberFormat="1" applyFont="1" applyFill="1" applyBorder="1" applyAlignment="1">
      <alignment horizontal="center" vertical="center"/>
    </xf>
    <xf numFmtId="165" fontId="18" fillId="0" borderId="9" xfId="5" applyNumberFormat="1" applyFont="1" applyFill="1" applyBorder="1" applyAlignment="1">
      <alignment horizontal="center" vertical="center"/>
    </xf>
    <xf numFmtId="165" fontId="18" fillId="8" borderId="9" xfId="5" applyNumberFormat="1" applyFont="1" applyFill="1" applyBorder="1" applyAlignment="1">
      <alignment horizontal="center" vertical="center"/>
    </xf>
    <xf numFmtId="165" fontId="20" fillId="0" borderId="9" xfId="5" applyNumberFormat="1" applyFont="1" applyFill="1" applyBorder="1" applyAlignment="1">
      <alignment horizontal="center" vertical="center"/>
    </xf>
    <xf numFmtId="165" fontId="20" fillId="8" borderId="9" xfId="5" applyNumberFormat="1" applyFont="1" applyFill="1" applyBorder="1" applyAlignment="1">
      <alignment horizontal="center" vertical="center"/>
    </xf>
    <xf numFmtId="165" fontId="8" fillId="9" borderId="9" xfId="5" applyNumberFormat="1" applyFont="1" applyFill="1" applyBorder="1" applyAlignment="1">
      <alignment horizontal="center" vertical="center"/>
    </xf>
    <xf numFmtId="165" fontId="8" fillId="7" borderId="9" xfId="5" applyNumberFormat="1" applyFont="1" applyFill="1" applyBorder="1" applyAlignment="1">
      <alignment horizontal="center" vertical="center"/>
    </xf>
    <xf numFmtId="165" fontId="8" fillId="3" borderId="9" xfId="5" applyNumberFormat="1" applyFont="1" applyFill="1" applyBorder="1" applyAlignment="1">
      <alignment horizontal="center" vertical="center"/>
    </xf>
    <xf numFmtId="165" fontId="11" fillId="3" borderId="9" xfId="5" applyNumberFormat="1" applyFont="1" applyFill="1" applyBorder="1" applyAlignment="1">
      <alignment horizontal="center" vertical="center"/>
    </xf>
    <xf numFmtId="179" fontId="19" fillId="0" borderId="22" xfId="5" applyNumberFormat="1" applyFont="1" applyFill="1" applyBorder="1" applyAlignment="1">
      <alignment horizontal="center" vertical="center"/>
    </xf>
    <xf numFmtId="179" fontId="19" fillId="8" borderId="22" xfId="5" applyNumberFormat="1" applyFont="1" applyFill="1" applyBorder="1" applyAlignment="1">
      <alignment horizontal="center" vertical="center"/>
    </xf>
    <xf numFmtId="165" fontId="11" fillId="3" borderId="10" xfId="5" applyNumberFormat="1" applyFont="1" applyFill="1" applyBorder="1" applyAlignment="1">
      <alignment horizontal="center" vertical="center"/>
    </xf>
    <xf numFmtId="165" fontId="13" fillId="0" borderId="0" xfId="5" applyNumberFormat="1" applyFont="1" applyFill="1" applyBorder="1" applyAlignment="1">
      <alignment horizontal="center"/>
    </xf>
    <xf numFmtId="165" fontId="13" fillId="7" borderId="8" xfId="5" applyNumberFormat="1" applyFont="1" applyFill="1" applyBorder="1" applyAlignment="1">
      <alignment horizontal="center" vertical="center"/>
    </xf>
    <xf numFmtId="181" fontId="18" fillId="0" borderId="9" xfId="5" applyNumberFormat="1" applyFont="1" applyFill="1" applyBorder="1" applyAlignment="1">
      <alignment horizontal="center" vertical="center"/>
    </xf>
    <xf numFmtId="181" fontId="8" fillId="21" borderId="9" xfId="5" applyNumberFormat="1" applyFont="1" applyFill="1" applyBorder="1" applyAlignment="1">
      <alignment horizontal="center" vertical="center"/>
    </xf>
    <xf numFmtId="181" fontId="14" fillId="20" borderId="9" xfId="5" applyNumberFormat="1" applyFont="1" applyFill="1" applyBorder="1" applyAlignment="1">
      <alignment horizontal="center" vertical="center"/>
    </xf>
    <xf numFmtId="181" fontId="8" fillId="7" borderId="10" xfId="5" applyNumberFormat="1" applyFont="1" applyFill="1" applyBorder="1" applyAlignment="1">
      <alignment horizontal="center" vertical="center"/>
    </xf>
    <xf numFmtId="0" fontId="20" fillId="0" borderId="14" xfId="4" applyFont="1" applyBorder="1"/>
    <xf numFmtId="169" fontId="20" fillId="0" borderId="14" xfId="5" applyNumberFormat="1" applyFont="1" applyFill="1" applyBorder="1" applyAlignment="1">
      <alignment horizontal="center" vertical="center"/>
    </xf>
    <xf numFmtId="169" fontId="20" fillId="0" borderId="14" xfId="5" applyNumberFormat="1" applyFont="1" applyFill="1" applyBorder="1" applyAlignment="1">
      <alignment vertical="center"/>
    </xf>
    <xf numFmtId="167" fontId="18" fillId="0" borderId="21" xfId="5" applyNumberFormat="1" applyFont="1" applyFill="1" applyBorder="1" applyAlignment="1">
      <alignment vertical="center"/>
    </xf>
    <xf numFmtId="169" fontId="18" fillId="0" borderId="0" xfId="5" applyNumberFormat="1" applyFont="1" applyFill="1" applyBorder="1" applyAlignment="1">
      <alignment vertical="center"/>
    </xf>
    <xf numFmtId="0" fontId="20" fillId="0" borderId="18" xfId="4" applyFont="1" applyBorder="1"/>
    <xf numFmtId="169" fontId="20" fillId="0" borderId="18" xfId="5" applyNumberFormat="1" applyFont="1" applyFill="1" applyBorder="1" applyAlignment="1">
      <alignment horizontal="center" vertical="center"/>
    </xf>
    <xf numFmtId="167" fontId="18" fillId="0" borderId="0" xfId="5" applyNumberFormat="1" applyFont="1" applyFill="1" applyBorder="1" applyAlignment="1">
      <alignment horizontal="center" vertical="center"/>
    </xf>
    <xf numFmtId="169" fontId="20" fillId="0" borderId="18" xfId="5" applyNumberFormat="1" applyFont="1" applyFill="1" applyBorder="1" applyAlignment="1">
      <alignment vertical="center"/>
    </xf>
    <xf numFmtId="167" fontId="18" fillId="0" borderId="0" xfId="5" applyNumberFormat="1" applyFont="1" applyFill="1" applyBorder="1" applyAlignment="1">
      <alignment vertical="center"/>
    </xf>
    <xf numFmtId="169" fontId="19" fillId="0" borderId="0" xfId="5" applyNumberFormat="1" applyFont="1" applyFill="1" applyBorder="1" applyAlignment="1">
      <alignment vertical="center"/>
    </xf>
    <xf numFmtId="0" fontId="20" fillId="0" borderId="15" xfId="0" applyFont="1" applyBorder="1" applyAlignment="1">
      <alignment vertical="center"/>
    </xf>
    <xf numFmtId="167" fontId="20" fillId="0" borderId="18" xfId="0" applyNumberFormat="1" applyFont="1" applyBorder="1" applyAlignment="1">
      <alignment horizontal="center"/>
    </xf>
    <xf numFmtId="167" fontId="20" fillId="0" borderId="18" xfId="0" applyNumberFormat="1" applyFont="1" applyBorder="1"/>
    <xf numFmtId="171" fontId="20" fillId="0" borderId="14" xfId="0" applyNumberFormat="1" applyFont="1" applyBorder="1" applyAlignment="1">
      <alignment horizontal="center"/>
    </xf>
    <xf numFmtId="171" fontId="20" fillId="0" borderId="14" xfId="0" applyNumberFormat="1" applyFont="1" applyBorder="1" applyAlignment="1">
      <alignment horizontal="right"/>
    </xf>
    <xf numFmtId="171" fontId="20" fillId="0" borderId="18" xfId="0" applyNumberFormat="1" applyFont="1" applyBorder="1" applyAlignment="1">
      <alignment horizontal="center"/>
    </xf>
    <xf numFmtId="171" fontId="20" fillId="0" borderId="18" xfId="0" applyNumberFormat="1" applyFont="1" applyBorder="1" applyAlignment="1">
      <alignment horizontal="right"/>
    </xf>
    <xf numFmtId="0" fontId="8" fillId="11" borderId="0" xfId="0" applyFont="1" applyFill="1" applyAlignment="1">
      <alignment horizontal="center"/>
    </xf>
    <xf numFmtId="167" fontId="18" fillId="0" borderId="8" xfId="5" applyNumberFormat="1" applyFont="1" applyFill="1" applyBorder="1" applyAlignment="1">
      <alignment horizontal="center" vertical="center"/>
    </xf>
    <xf numFmtId="165" fontId="18" fillId="11" borderId="0" xfId="5" applyNumberFormat="1" applyFont="1" applyFill="1" applyBorder="1" applyAlignment="1">
      <alignment horizontal="center" vertical="center"/>
    </xf>
    <xf numFmtId="167" fontId="18" fillId="0" borderId="9" xfId="5" applyNumberFormat="1" applyFont="1" applyFill="1" applyBorder="1" applyAlignment="1">
      <alignment horizontal="center" vertical="center"/>
    </xf>
    <xf numFmtId="167" fontId="18" fillId="8" borderId="9" xfId="5" applyNumberFormat="1" applyFont="1" applyFill="1" applyBorder="1" applyAlignment="1">
      <alignment horizontal="center" vertical="center"/>
    </xf>
    <xf numFmtId="167" fontId="20" fillId="0" borderId="9" xfId="5" applyNumberFormat="1" applyFont="1" applyFill="1" applyBorder="1" applyAlignment="1">
      <alignment horizontal="center" vertical="center"/>
    </xf>
    <xf numFmtId="165" fontId="20" fillId="11" borderId="0" xfId="5" applyNumberFormat="1" applyFont="1" applyFill="1" applyBorder="1" applyAlignment="1">
      <alignment horizontal="center" vertical="center"/>
    </xf>
    <xf numFmtId="167" fontId="20" fillId="8" borderId="9" xfId="5" applyNumberFormat="1" applyFont="1" applyFill="1" applyBorder="1" applyAlignment="1">
      <alignment horizontal="center" vertical="center"/>
    </xf>
    <xf numFmtId="167" fontId="8" fillId="9" borderId="9" xfId="5" applyNumberFormat="1" applyFont="1" applyFill="1" applyBorder="1" applyAlignment="1">
      <alignment horizontal="center" vertical="center"/>
    </xf>
    <xf numFmtId="165" fontId="8" fillId="11" borderId="0" xfId="5" applyNumberFormat="1" applyFont="1" applyFill="1" applyBorder="1" applyAlignment="1">
      <alignment horizontal="center" vertical="center"/>
    </xf>
    <xf numFmtId="167" fontId="8" fillId="7" borderId="9" xfId="5" applyNumberFormat="1" applyFont="1" applyFill="1" applyBorder="1" applyAlignment="1">
      <alignment horizontal="center" vertical="center"/>
    </xf>
    <xf numFmtId="167" fontId="8" fillId="3" borderId="9" xfId="5" applyNumberFormat="1" applyFont="1" applyFill="1" applyBorder="1" applyAlignment="1">
      <alignment horizontal="center" vertical="center"/>
    </xf>
    <xf numFmtId="167" fontId="11" fillId="3" borderId="9" xfId="5" applyNumberFormat="1" applyFont="1" applyFill="1" applyBorder="1" applyAlignment="1">
      <alignment horizontal="center" vertical="center"/>
    </xf>
    <xf numFmtId="165" fontId="11" fillId="11" borderId="0" xfId="5" applyNumberFormat="1" applyFont="1" applyFill="1" applyBorder="1" applyAlignment="1">
      <alignment horizontal="center" vertical="center"/>
    </xf>
    <xf numFmtId="180" fontId="19" fillId="0" borderId="9" xfId="5" applyNumberFormat="1" applyFont="1" applyFill="1" applyBorder="1" applyAlignment="1">
      <alignment horizontal="center" vertical="center"/>
    </xf>
    <xf numFmtId="165" fontId="19" fillId="0" borderId="0" xfId="5" applyNumberFormat="1" applyFont="1" applyFill="1" applyBorder="1" applyAlignment="1">
      <alignment horizontal="center" vertical="center"/>
    </xf>
    <xf numFmtId="180" fontId="19" fillId="8" borderId="9" xfId="5" applyNumberFormat="1" applyFont="1" applyFill="1" applyBorder="1" applyAlignment="1">
      <alignment horizontal="center" vertical="center"/>
    </xf>
    <xf numFmtId="165" fontId="19" fillId="11" borderId="0" xfId="5" applyNumberFormat="1" applyFont="1" applyFill="1" applyBorder="1" applyAlignment="1">
      <alignment horizontal="center" vertical="center"/>
    </xf>
    <xf numFmtId="167" fontId="11" fillId="3" borderId="10" xfId="5" applyNumberFormat="1" applyFont="1" applyFill="1" applyBorder="1" applyAlignment="1">
      <alignment horizontal="center" vertical="center"/>
    </xf>
    <xf numFmtId="167" fontId="13" fillId="0" borderId="0" xfId="5" applyNumberFormat="1" applyFont="1" applyFill="1" applyBorder="1" applyAlignment="1">
      <alignment horizontal="center"/>
    </xf>
    <xf numFmtId="165" fontId="13" fillId="11" borderId="0" xfId="5" applyNumberFormat="1" applyFont="1" applyFill="1" applyBorder="1" applyAlignment="1">
      <alignment horizontal="center"/>
    </xf>
    <xf numFmtId="167" fontId="13" fillId="7" borderId="8" xfId="5" applyNumberFormat="1" applyFont="1" applyFill="1" applyBorder="1" applyAlignment="1">
      <alignment horizontal="center" vertical="center"/>
    </xf>
    <xf numFmtId="165" fontId="13" fillId="11" borderId="0" xfId="5" applyNumberFormat="1" applyFont="1" applyFill="1" applyBorder="1" applyAlignment="1">
      <alignment horizontal="center" vertical="center"/>
    </xf>
    <xf numFmtId="165" fontId="18" fillId="0" borderId="0" xfId="5" applyNumberFormat="1" applyFont="1" applyFill="1" applyBorder="1" applyAlignment="1">
      <alignment horizontal="center" vertical="center"/>
    </xf>
    <xf numFmtId="167" fontId="8" fillId="21" borderId="9" xfId="5" applyNumberFormat="1" applyFont="1" applyFill="1" applyBorder="1" applyAlignment="1">
      <alignment horizontal="center" vertical="center"/>
    </xf>
    <xf numFmtId="167" fontId="14" fillId="20" borderId="9" xfId="5" applyNumberFormat="1" applyFont="1" applyFill="1" applyBorder="1" applyAlignment="1">
      <alignment horizontal="center" vertical="center"/>
    </xf>
    <xf numFmtId="165" fontId="14" fillId="11" borderId="0" xfId="5" applyNumberFormat="1" applyFont="1" applyFill="1" applyBorder="1" applyAlignment="1">
      <alignment horizontal="center" vertical="center"/>
    </xf>
    <xf numFmtId="167" fontId="8" fillId="7" borderId="10" xfId="5" applyNumberFormat="1" applyFont="1" applyFill="1" applyBorder="1" applyAlignment="1">
      <alignment horizontal="center" vertical="center"/>
    </xf>
    <xf numFmtId="167" fontId="18" fillId="0" borderId="0" xfId="5" applyNumberFormat="1" applyFont="1" applyFill="1" applyBorder="1" applyAlignment="1">
      <alignment horizontal="right" vertical="center"/>
    </xf>
    <xf numFmtId="167" fontId="20" fillId="0" borderId="0" xfId="5" applyNumberFormat="1" applyFont="1" applyFill="1" applyBorder="1" applyAlignment="1">
      <alignment horizontal="right" vertical="center"/>
    </xf>
    <xf numFmtId="180" fontId="19" fillId="0" borderId="0" xfId="5" applyNumberFormat="1" applyFont="1" applyFill="1" applyBorder="1" applyAlignment="1">
      <alignment horizontal="right" vertical="center"/>
    </xf>
    <xf numFmtId="167" fontId="8" fillId="0" borderId="0" xfId="0" applyNumberFormat="1" applyFont="1" applyAlignment="1">
      <alignment horizontal="right"/>
    </xf>
    <xf numFmtId="167" fontId="8" fillId="0" borderId="0" xfId="5" applyNumberFormat="1" applyFont="1" applyFill="1" applyBorder="1" applyAlignment="1">
      <alignment horizontal="right" vertical="center"/>
    </xf>
    <xf numFmtId="165" fontId="8" fillId="21" borderId="9" xfId="5" applyNumberFormat="1" applyFont="1" applyFill="1" applyBorder="1" applyAlignment="1">
      <alignment horizontal="center" vertical="center"/>
    </xf>
    <xf numFmtId="165" fontId="8" fillId="20" borderId="9" xfId="5" applyNumberFormat="1" applyFont="1" applyFill="1" applyBorder="1" applyAlignment="1">
      <alignment horizontal="center" vertical="center"/>
    </xf>
    <xf numFmtId="167" fontId="8" fillId="20" borderId="9" xfId="5" applyNumberFormat="1" applyFont="1" applyFill="1" applyBorder="1" applyAlignment="1">
      <alignment horizontal="center" vertical="center"/>
    </xf>
    <xf numFmtId="0" fontId="10" fillId="0" borderId="0" xfId="4" applyFont="1" applyAlignment="1">
      <alignment horizontal="center"/>
    </xf>
    <xf numFmtId="173" fontId="10" fillId="0" borderId="0" xfId="0" applyNumberFormat="1" applyFont="1" applyAlignment="1">
      <alignment horizontal="center"/>
    </xf>
    <xf numFmtId="0" fontId="8" fillId="0" borderId="0" xfId="0" applyFont="1" applyAlignment="1">
      <alignment horizontal="center"/>
    </xf>
    <xf numFmtId="173" fontId="24" fillId="0" borderId="0" xfId="0" applyNumberFormat="1" applyFont="1" applyAlignment="1">
      <alignment horizontal="left"/>
    </xf>
    <xf numFmtId="170" fontId="20" fillId="0" borderId="0" xfId="5" applyNumberFormat="1" applyFont="1" applyFill="1" applyBorder="1" applyAlignment="1">
      <alignment horizontal="center" vertical="center"/>
    </xf>
    <xf numFmtId="170" fontId="8" fillId="0" borderId="0" xfId="5" applyNumberFormat="1" applyFont="1" applyFill="1" applyBorder="1" applyAlignment="1">
      <alignment horizontal="center" vertical="center"/>
    </xf>
    <xf numFmtId="0" fontId="8" fillId="0" borderId="0" xfId="0" applyFont="1" applyAlignment="1">
      <alignment horizontal="center" wrapText="1"/>
    </xf>
    <xf numFmtId="0" fontId="37" fillId="0" borderId="0" xfId="0" applyFont="1"/>
    <xf numFmtId="173" fontId="10" fillId="0" borderId="0" xfId="0" applyNumberFormat="1" applyFont="1" applyAlignment="1">
      <alignment horizontal="left"/>
    </xf>
    <xf numFmtId="0" fontId="10" fillId="0" borderId="0" xfId="0" applyFont="1" applyAlignment="1">
      <alignment horizontal="left"/>
    </xf>
    <xf numFmtId="14" fontId="37" fillId="0" borderId="0" xfId="0" applyNumberFormat="1" applyFont="1"/>
    <xf numFmtId="169" fontId="20" fillId="0" borderId="0" xfId="5" applyNumberFormat="1" applyFont="1" applyFill="1" applyBorder="1" applyAlignment="1">
      <alignment horizontal="right" vertical="center" indent="2"/>
    </xf>
    <xf numFmtId="169" fontId="20" fillId="0" borderId="0" xfId="5" applyNumberFormat="1" applyFont="1" applyFill="1" applyBorder="1" applyAlignment="1">
      <alignment vertical="center"/>
    </xf>
    <xf numFmtId="169" fontId="19" fillId="0" borderId="0" xfId="5" applyNumberFormat="1" applyFont="1" applyFill="1" applyBorder="1" applyAlignment="1">
      <alignment horizontal="right" vertical="center" indent="3"/>
    </xf>
    <xf numFmtId="169" fontId="18" fillId="0" borderId="0" xfId="5" applyNumberFormat="1" applyFont="1" applyFill="1" applyBorder="1" applyAlignment="1">
      <alignment horizontal="right" vertical="center" indent="3"/>
    </xf>
    <xf numFmtId="169" fontId="20" fillId="0" borderId="0" xfId="5" applyNumberFormat="1" applyFont="1" applyFill="1" applyBorder="1" applyAlignment="1">
      <alignment horizontal="right" vertical="center" indent="3"/>
    </xf>
    <xf numFmtId="169" fontId="18" fillId="0" borderId="0" xfId="5" applyNumberFormat="1" applyFont="1" applyFill="1" applyBorder="1" applyAlignment="1">
      <alignment horizontal="right" vertical="center"/>
    </xf>
    <xf numFmtId="169" fontId="11" fillId="0" borderId="0" xfId="5" applyNumberFormat="1" applyFont="1" applyFill="1" applyBorder="1" applyAlignment="1">
      <alignment horizontal="center" vertical="center"/>
    </xf>
    <xf numFmtId="169" fontId="36" fillId="0" borderId="0" xfId="5" applyNumberFormat="1" applyFont="1" applyFill="1" applyBorder="1" applyAlignment="1">
      <alignment horizontal="right" vertical="center" indent="2"/>
    </xf>
    <xf numFmtId="169" fontId="11" fillId="0" borderId="0" xfId="5" applyNumberFormat="1" applyFont="1" applyFill="1" applyBorder="1" applyAlignment="1">
      <alignment horizontal="right" vertical="center" indent="2"/>
    </xf>
    <xf numFmtId="171" fontId="20" fillId="0" borderId="0" xfId="0" applyNumberFormat="1" applyFont="1" applyAlignment="1">
      <alignment horizontal="center"/>
    </xf>
    <xf numFmtId="171" fontId="8" fillId="0" borderId="0" xfId="0" applyNumberFormat="1" applyFont="1" applyAlignment="1">
      <alignment horizontal="center" vertical="center"/>
    </xf>
    <xf numFmtId="171" fontId="11" fillId="0" borderId="0" xfId="0" applyNumberFormat="1" applyFont="1" applyAlignment="1">
      <alignment horizontal="center"/>
    </xf>
    <xf numFmtId="167" fontId="18" fillId="18" borderId="0" xfId="0" applyNumberFormat="1" applyFont="1" applyFill="1" applyAlignment="1">
      <alignment horizontal="center"/>
    </xf>
    <xf numFmtId="0" fontId="10" fillId="7" borderId="0" xfId="4" applyFont="1" applyFill="1"/>
    <xf numFmtId="165" fontId="8" fillId="0" borderId="0" xfId="5" applyNumberFormat="1" applyFont="1" applyFill="1" applyBorder="1" applyAlignment="1">
      <alignment horizontal="center" vertical="center"/>
    </xf>
    <xf numFmtId="0" fontId="18" fillId="0" borderId="9" xfId="4" applyFont="1" applyBorder="1" applyAlignment="1">
      <alignment horizontal="left"/>
    </xf>
    <xf numFmtId="0" fontId="20" fillId="0" borderId="9" xfId="4" applyFont="1" applyBorder="1" applyAlignment="1">
      <alignment horizontal="left"/>
    </xf>
    <xf numFmtId="0" fontId="20" fillId="5" borderId="9" xfId="4" applyFont="1" applyFill="1" applyBorder="1" applyAlignment="1">
      <alignment horizontal="left"/>
    </xf>
    <xf numFmtId="0" fontId="8" fillId="6" borderId="9" xfId="4" applyFont="1" applyFill="1" applyBorder="1" applyAlignment="1">
      <alignment horizontal="left"/>
    </xf>
    <xf numFmtId="0" fontId="8" fillId="7" borderId="9" xfId="4" applyFont="1" applyFill="1" applyBorder="1" applyAlignment="1">
      <alignment horizontal="left"/>
    </xf>
    <xf numFmtId="0" fontId="19" fillId="0" borderId="9" xfId="4" applyFont="1" applyBorder="1" applyAlignment="1">
      <alignment horizontal="left"/>
    </xf>
    <xf numFmtId="0" fontId="19" fillId="8" borderId="9" xfId="4" applyFont="1" applyFill="1" applyBorder="1" applyAlignment="1">
      <alignment horizontal="left"/>
    </xf>
    <xf numFmtId="0" fontId="8" fillId="9" borderId="9" xfId="4" applyFont="1" applyFill="1" applyBorder="1" applyAlignment="1">
      <alignment horizontal="left"/>
    </xf>
    <xf numFmtId="0" fontId="18" fillId="8" borderId="9" xfId="4" applyFont="1" applyFill="1" applyBorder="1" applyAlignment="1">
      <alignment horizontal="left"/>
    </xf>
    <xf numFmtId="0" fontId="5" fillId="0" borderId="0" xfId="4" applyFont="1" applyAlignment="1">
      <alignment horizontal="left"/>
    </xf>
    <xf numFmtId="0" fontId="8" fillId="7" borderId="8" xfId="4" applyFont="1" applyFill="1" applyBorder="1" applyAlignment="1">
      <alignment horizontal="left"/>
    </xf>
    <xf numFmtId="0" fontId="8" fillId="21" borderId="9" xfId="4" applyFont="1" applyFill="1" applyBorder="1" applyAlignment="1">
      <alignment horizontal="left"/>
    </xf>
    <xf numFmtId="0" fontId="0" fillId="0" borderId="0" xfId="0" applyAlignment="1">
      <alignment horizontal="left"/>
    </xf>
    <xf numFmtId="0" fontId="14" fillId="20" borderId="9" xfId="4" applyFont="1" applyFill="1" applyBorder="1" applyAlignment="1">
      <alignment horizontal="left"/>
    </xf>
    <xf numFmtId="0" fontId="8" fillId="7" borderId="10" xfId="4" applyFont="1" applyFill="1" applyBorder="1" applyAlignment="1">
      <alignment horizontal="left"/>
    </xf>
    <xf numFmtId="165" fontId="20" fillId="0" borderId="0" xfId="5" applyNumberFormat="1" applyFont="1" applyFill="1" applyBorder="1" applyAlignment="1">
      <alignment horizontal="center" vertical="center"/>
    </xf>
    <xf numFmtId="179" fontId="19" fillId="0" borderId="0" xfId="5" applyNumberFormat="1" applyFont="1" applyFill="1" applyBorder="1" applyAlignment="1">
      <alignment horizontal="center" vertical="center"/>
    </xf>
    <xf numFmtId="181" fontId="18" fillId="0" borderId="0" xfId="5" applyNumberFormat="1" applyFont="1" applyFill="1" applyBorder="1" applyAlignment="1">
      <alignment horizontal="center" vertical="center"/>
    </xf>
    <xf numFmtId="165" fontId="11" fillId="0" borderId="0" xfId="5" applyNumberFormat="1" applyFont="1" applyFill="1" applyBorder="1" applyAlignment="1">
      <alignment horizontal="center" vertical="center"/>
    </xf>
    <xf numFmtId="181" fontId="8" fillId="0" borderId="0" xfId="5" applyNumberFormat="1" applyFont="1" applyFill="1" applyBorder="1" applyAlignment="1">
      <alignment horizontal="center" vertical="center"/>
    </xf>
    <xf numFmtId="181" fontId="14" fillId="0" borderId="0" xfId="5" applyNumberFormat="1" applyFont="1" applyFill="1" applyBorder="1" applyAlignment="1">
      <alignment horizontal="center" vertical="center"/>
    </xf>
    <xf numFmtId="0" fontId="45" fillId="0" borderId="0" xfId="4" applyFont="1"/>
    <xf numFmtId="0" fontId="45" fillId="0" borderId="0" xfId="9" applyFont="1"/>
    <xf numFmtId="0" fontId="45" fillId="0" borderId="0" xfId="4" applyFont="1" applyAlignment="1">
      <alignment horizontal="right"/>
    </xf>
    <xf numFmtId="14" fontId="45" fillId="0" borderId="0" xfId="4" applyNumberFormat="1" applyFont="1" applyAlignment="1">
      <alignment horizontal="right"/>
    </xf>
    <xf numFmtId="0" fontId="46" fillId="0" borderId="0" xfId="9" applyFont="1"/>
    <xf numFmtId="0" fontId="47" fillId="0" borderId="0" xfId="4" applyFont="1" applyAlignment="1">
      <alignment horizontal="right"/>
    </xf>
    <xf numFmtId="0" fontId="22" fillId="0" borderId="0" xfId="9"/>
    <xf numFmtId="14" fontId="10" fillId="0" borderId="0" xfId="4" applyNumberFormat="1" applyFont="1" applyAlignment="1">
      <alignment horizontal="right"/>
    </xf>
    <xf numFmtId="0" fontId="48" fillId="0" borderId="0" xfId="4" applyFont="1"/>
    <xf numFmtId="0" fontId="49" fillId="0" borderId="0" xfId="9" applyFont="1"/>
    <xf numFmtId="0" fontId="50" fillId="0" borderId="0" xfId="4" applyFont="1" applyAlignment="1">
      <alignment horizontal="right"/>
    </xf>
    <xf numFmtId="182" fontId="47" fillId="4" borderId="0" xfId="5" applyNumberFormat="1" applyFont="1" applyFill="1" applyBorder="1" applyAlignment="1">
      <alignment horizontal="right" vertical="center"/>
    </xf>
    <xf numFmtId="0" fontId="51" fillId="0" borderId="0" xfId="9" applyFont="1" applyAlignment="1">
      <alignment horizontal="center"/>
    </xf>
    <xf numFmtId="182" fontId="47" fillId="11" borderId="0" xfId="5" applyNumberFormat="1" applyFont="1" applyFill="1" applyBorder="1" applyAlignment="1">
      <alignment horizontal="right" vertical="center"/>
    </xf>
    <xf numFmtId="0" fontId="22" fillId="0" borderId="0" xfId="4" applyFont="1"/>
    <xf numFmtId="14" fontId="52" fillId="0" borderId="0" xfId="9" applyNumberFormat="1" applyFont="1" applyAlignment="1">
      <alignment horizontal="left"/>
    </xf>
    <xf numFmtId="0" fontId="53" fillId="0" borderId="0" xfId="9" quotePrefix="1" applyFont="1"/>
    <xf numFmtId="14" fontId="54" fillId="0" borderId="0" xfId="9" applyNumberFormat="1" applyFont="1" applyAlignment="1">
      <alignment horizontal="left"/>
    </xf>
    <xf numFmtId="183" fontId="55" fillId="0" borderId="23" xfId="5" applyNumberFormat="1" applyFont="1" applyFill="1" applyBorder="1" applyAlignment="1">
      <alignment horizontal="left" vertical="center" indent="1"/>
    </xf>
    <xf numFmtId="0" fontId="47" fillId="0" borderId="0" xfId="4" applyFont="1"/>
    <xf numFmtId="182" fontId="50" fillId="11" borderId="0" xfId="5" applyNumberFormat="1" applyFont="1" applyFill="1" applyBorder="1" applyAlignment="1">
      <alignment horizontal="right" vertical="center"/>
    </xf>
    <xf numFmtId="184" fontId="46" fillId="0" borderId="0" xfId="9" applyNumberFormat="1" applyFont="1"/>
    <xf numFmtId="14" fontId="56" fillId="0" borderId="0" xfId="9" applyNumberFormat="1" applyFont="1" applyAlignment="1">
      <alignment horizontal="left"/>
    </xf>
    <xf numFmtId="0" fontId="9" fillId="0" borderId="0" xfId="4"/>
    <xf numFmtId="0" fontId="57" fillId="17" borderId="24" xfId="4" applyFont="1" applyFill="1" applyBorder="1" applyAlignment="1">
      <alignment horizontal="center"/>
    </xf>
    <xf numFmtId="0" fontId="58" fillId="0" borderId="24" xfId="11" applyFont="1" applyBorder="1">
      <alignment horizontal="left"/>
    </xf>
    <xf numFmtId="0" fontId="48" fillId="0" borderId="0" xfId="9" applyFont="1"/>
    <xf numFmtId="0" fontId="59" fillId="22" borderId="0" xfId="9" applyFont="1" applyFill="1" applyAlignment="1">
      <alignment horizontal="centerContinuous"/>
    </xf>
    <xf numFmtId="0" fontId="59" fillId="22" borderId="0" xfId="9" applyFont="1" applyFill="1" applyAlignment="1">
      <alignment horizontal="center"/>
    </xf>
    <xf numFmtId="0" fontId="59" fillId="21" borderId="0" xfId="9" applyFont="1" applyFill="1" applyAlignment="1">
      <alignment horizontal="centerContinuous"/>
    </xf>
    <xf numFmtId="0" fontId="60" fillId="21" borderId="0" xfId="9" applyFont="1" applyFill="1" applyAlignment="1">
      <alignment horizontal="centerContinuous"/>
    </xf>
    <xf numFmtId="0" fontId="2" fillId="0" borderId="0" xfId="9" applyFont="1"/>
    <xf numFmtId="0" fontId="61" fillId="0" borderId="0" xfId="9" applyFont="1"/>
    <xf numFmtId="0" fontId="62" fillId="17" borderId="24" xfId="4" applyFont="1" applyFill="1" applyBorder="1" applyAlignment="1">
      <alignment horizontal="center"/>
    </xf>
    <xf numFmtId="0" fontId="63" fillId="0" borderId="24" xfId="11" applyFont="1" applyBorder="1">
      <alignment horizontal="left"/>
    </xf>
    <xf numFmtId="185" fontId="64" fillId="0" borderId="0" xfId="11" applyNumberFormat="1" applyFont="1" applyBorder="1" applyAlignment="1">
      <alignment horizontal="right" wrapText="1"/>
    </xf>
    <xf numFmtId="0" fontId="59" fillId="7" borderId="24" xfId="11" applyFont="1" applyFill="1" applyBorder="1" applyAlignment="1">
      <alignment horizontal="right" wrapText="1"/>
    </xf>
    <xf numFmtId="185" fontId="58" fillId="0" borderId="0" xfId="11" applyNumberFormat="1" applyFont="1" applyBorder="1" applyAlignment="1">
      <alignment horizontal="right" wrapText="1"/>
    </xf>
    <xf numFmtId="0" fontId="65" fillId="0" borderId="24" xfId="11" applyFont="1" applyBorder="1" applyAlignment="1">
      <alignment horizontal="right" wrapText="1"/>
    </xf>
    <xf numFmtId="0" fontId="43" fillId="7" borderId="24" xfId="11" applyFont="1" applyFill="1" applyBorder="1" applyAlignment="1">
      <alignment horizontal="right" wrapText="1"/>
    </xf>
    <xf numFmtId="0" fontId="66" fillId="7" borderId="24" xfId="11" applyFont="1" applyFill="1" applyBorder="1" applyAlignment="1">
      <alignment horizontal="right" wrapText="1"/>
    </xf>
    <xf numFmtId="0" fontId="46" fillId="0" borderId="0" xfId="4" applyFont="1"/>
    <xf numFmtId="0" fontId="2" fillId="0" borderId="0" xfId="4" applyFont="1"/>
    <xf numFmtId="0" fontId="59" fillId="7" borderId="24" xfId="11" applyFont="1" applyFill="1" applyBorder="1" applyAlignment="1">
      <alignment wrapText="1"/>
    </xf>
    <xf numFmtId="0" fontId="59" fillId="7" borderId="24" xfId="11" applyFont="1" applyFill="1" applyBorder="1" applyAlignment="1">
      <alignment horizontal="left" wrapText="1"/>
    </xf>
    <xf numFmtId="0" fontId="67" fillId="0" borderId="24" xfId="11" applyFont="1" applyBorder="1" applyAlignment="1">
      <alignment horizontal="right" wrapText="1"/>
    </xf>
    <xf numFmtId="0" fontId="45" fillId="0" borderId="0" xfId="4" applyFont="1" applyAlignment="1">
      <alignment horizontal="left" indent="1"/>
    </xf>
    <xf numFmtId="0" fontId="48" fillId="0" borderId="25" xfId="4" applyFont="1" applyBorder="1" applyAlignment="1">
      <alignment horizontal="left" indent="1"/>
    </xf>
    <xf numFmtId="0" fontId="69" fillId="0" borderId="0" xfId="4" applyFont="1" applyAlignment="1">
      <alignment horizontal="center"/>
    </xf>
    <xf numFmtId="165" fontId="69" fillId="0" borderId="25" xfId="5" applyNumberFormat="1" applyFont="1" applyFill="1" applyBorder="1" applyAlignment="1">
      <alignment horizontal="left" indent="1"/>
    </xf>
    <xf numFmtId="167" fontId="69" fillId="0" borderId="25" xfId="5" applyNumberFormat="1" applyFont="1" applyFill="1" applyBorder="1" applyAlignment="1">
      <alignment horizontal="right" indent="1"/>
    </xf>
    <xf numFmtId="182" fontId="50" fillId="0" borderId="25" xfId="5" applyNumberFormat="1" applyFont="1" applyFill="1" applyBorder="1" applyAlignment="1">
      <alignment horizontal="left" indent="1"/>
    </xf>
    <xf numFmtId="165" fontId="70" fillId="0" borderId="26" xfId="5" applyNumberFormat="1" applyFont="1" applyFill="1" applyBorder="1" applyAlignment="1">
      <alignment horizontal="center"/>
    </xf>
    <xf numFmtId="0" fontId="10" fillId="0" borderId="0" xfId="9" applyFont="1"/>
    <xf numFmtId="0" fontId="48" fillId="0" borderId="23" xfId="4" applyFont="1" applyBorder="1" applyAlignment="1">
      <alignment horizontal="left" indent="1"/>
    </xf>
    <xf numFmtId="165" fontId="69" fillId="0" borderId="23" xfId="5" applyNumberFormat="1" applyFont="1" applyFill="1" applyBorder="1" applyAlignment="1">
      <alignment horizontal="left" vertical="center" indent="1"/>
    </xf>
    <xf numFmtId="167" fontId="69" fillId="0" borderId="23" xfId="5" applyNumberFormat="1" applyFont="1" applyFill="1" applyBorder="1" applyAlignment="1">
      <alignment horizontal="right" vertical="center" indent="1"/>
    </xf>
    <xf numFmtId="182" fontId="50" fillId="0" borderId="23" xfId="5" applyNumberFormat="1" applyFont="1" applyFill="1" applyBorder="1" applyAlignment="1">
      <alignment horizontal="left" vertical="center" indent="1"/>
    </xf>
    <xf numFmtId="165" fontId="70" fillId="0" borderId="19" xfId="5" applyNumberFormat="1" applyFont="1" applyFill="1" applyBorder="1" applyAlignment="1">
      <alignment horizontal="center" vertical="center"/>
    </xf>
    <xf numFmtId="0" fontId="48" fillId="18" borderId="27" xfId="4" applyFont="1" applyFill="1" applyBorder="1"/>
    <xf numFmtId="0" fontId="48" fillId="0" borderId="0" xfId="4" applyFont="1" applyAlignment="1">
      <alignment horizontal="center"/>
    </xf>
    <xf numFmtId="165" fontId="69" fillId="18" borderId="27" xfId="5" applyNumberFormat="1" applyFont="1" applyFill="1" applyBorder="1" applyAlignment="1">
      <alignment horizontal="right" vertical="center"/>
    </xf>
    <xf numFmtId="167" fontId="69" fillId="18" borderId="27" xfId="5" applyNumberFormat="1" applyFont="1" applyFill="1" applyBorder="1" applyAlignment="1">
      <alignment horizontal="right" vertical="center"/>
    </xf>
    <xf numFmtId="182" fontId="50" fillId="18" borderId="27" xfId="5" applyNumberFormat="1" applyFont="1" applyFill="1" applyBorder="1" applyAlignment="1">
      <alignment horizontal="right" vertical="center"/>
    </xf>
    <xf numFmtId="165" fontId="70" fillId="18" borderId="27" xfId="5" applyNumberFormat="1" applyFont="1" applyFill="1" applyBorder="1" applyAlignment="1">
      <alignment horizontal="center" vertical="center"/>
    </xf>
    <xf numFmtId="0" fontId="49" fillId="0" borderId="0" xfId="4" applyFont="1" applyAlignment="1">
      <alignment horizontal="center"/>
    </xf>
    <xf numFmtId="165" fontId="69" fillId="0" borderId="0" xfId="5" applyNumberFormat="1" applyFont="1" applyFill="1" applyBorder="1" applyAlignment="1">
      <alignment horizontal="right" vertical="center"/>
    </xf>
    <xf numFmtId="167" fontId="69" fillId="0" borderId="0" xfId="5" applyNumberFormat="1" applyFont="1" applyFill="1" applyBorder="1" applyAlignment="1">
      <alignment horizontal="right" vertical="center"/>
    </xf>
    <xf numFmtId="182" fontId="50" fillId="0" borderId="0" xfId="5" applyNumberFormat="1" applyFont="1" applyFill="1" applyBorder="1" applyAlignment="1">
      <alignment horizontal="right" vertical="center"/>
    </xf>
    <xf numFmtId="165" fontId="70" fillId="0" borderId="0" xfId="5" applyNumberFormat="1" applyFont="1" applyFill="1" applyBorder="1" applyAlignment="1">
      <alignment horizontal="center" vertical="center"/>
    </xf>
    <xf numFmtId="167" fontId="69" fillId="16" borderId="0" xfId="5" applyNumberFormat="1" applyFont="1" applyFill="1" applyBorder="1" applyAlignment="1">
      <alignment horizontal="right" vertical="center"/>
    </xf>
    <xf numFmtId="186" fontId="69" fillId="16" borderId="0" xfId="5" applyNumberFormat="1" applyFont="1" applyFill="1" applyBorder="1" applyAlignment="1">
      <alignment horizontal="right" vertical="center"/>
    </xf>
    <xf numFmtId="165" fontId="71" fillId="0" borderId="0" xfId="5" applyNumberFormat="1" applyFont="1" applyFill="1" applyBorder="1" applyAlignment="1">
      <alignment horizontal="right" vertical="center"/>
    </xf>
    <xf numFmtId="186" fontId="69" fillId="0" borderId="0" xfId="5" applyNumberFormat="1" applyFont="1" applyFill="1" applyBorder="1" applyAlignment="1">
      <alignment horizontal="right" vertical="center"/>
    </xf>
    <xf numFmtId="0" fontId="48" fillId="2" borderId="28" xfId="4" applyFont="1" applyFill="1" applyBorder="1"/>
    <xf numFmtId="165" fontId="69" fillId="2" borderId="28" xfId="5" applyNumberFormat="1" applyFont="1" applyFill="1" applyBorder="1" applyAlignment="1">
      <alignment horizontal="right" vertical="center"/>
    </xf>
    <xf numFmtId="167" fontId="69" fillId="2" borderId="28" xfId="5" applyNumberFormat="1" applyFont="1" applyFill="1" applyBorder="1" applyAlignment="1">
      <alignment horizontal="right" vertical="center"/>
    </xf>
    <xf numFmtId="182" fontId="50" fillId="2" borderId="28" xfId="5" applyNumberFormat="1" applyFont="1" applyFill="1" applyBorder="1" applyAlignment="1">
      <alignment horizontal="right" vertical="center"/>
    </xf>
    <xf numFmtId="165" fontId="70" fillId="2" borderId="28" xfId="5" applyNumberFormat="1" applyFont="1" applyFill="1" applyBorder="1" applyAlignment="1">
      <alignment horizontal="center" vertical="center"/>
    </xf>
    <xf numFmtId="186" fontId="69" fillId="2" borderId="28" xfId="5" applyNumberFormat="1" applyFont="1" applyFill="1" applyBorder="1" applyAlignment="1">
      <alignment horizontal="right" vertical="center"/>
    </xf>
    <xf numFmtId="165" fontId="71" fillId="2" borderId="28" xfId="5" applyNumberFormat="1" applyFont="1" applyFill="1" applyBorder="1" applyAlignment="1">
      <alignment horizontal="right" vertical="center"/>
    </xf>
    <xf numFmtId="165" fontId="22" fillId="0" borderId="0" xfId="9" applyNumberFormat="1"/>
    <xf numFmtId="0" fontId="48" fillId="0" borderId="0" xfId="9" applyFont="1" applyAlignment="1">
      <alignment horizontal="right"/>
    </xf>
    <xf numFmtId="0" fontId="45" fillId="0" borderId="0" xfId="9" applyFont="1" applyAlignment="1">
      <alignment horizontal="center"/>
    </xf>
    <xf numFmtId="186" fontId="48" fillId="0" borderId="0" xfId="9" applyNumberFormat="1" applyFont="1"/>
    <xf numFmtId="0" fontId="72" fillId="11" borderId="29" xfId="4" applyFont="1" applyFill="1" applyBorder="1"/>
    <xf numFmtId="0" fontId="73" fillId="0" borderId="0" xfId="4" applyFont="1" applyAlignment="1">
      <alignment horizontal="center"/>
    </xf>
    <xf numFmtId="165" fontId="72" fillId="11" borderId="29" xfId="5" applyNumberFormat="1" applyFont="1" applyFill="1" applyBorder="1" applyAlignment="1">
      <alignment horizontal="right" vertical="center"/>
    </xf>
    <xf numFmtId="167" fontId="72" fillId="11" borderId="29" xfId="5" applyNumberFormat="1" applyFont="1" applyFill="1" applyBorder="1" applyAlignment="1">
      <alignment horizontal="right" vertical="center"/>
    </xf>
    <xf numFmtId="182" fontId="50" fillId="6" borderId="27" xfId="5" applyNumberFormat="1" applyFont="1" applyFill="1" applyBorder="1" applyAlignment="1">
      <alignment horizontal="right" vertical="center"/>
    </xf>
    <xf numFmtId="165" fontId="74" fillId="11" borderId="29" xfId="5" applyNumberFormat="1" applyFont="1" applyFill="1" applyBorder="1" applyAlignment="1">
      <alignment horizontal="center" vertical="center"/>
    </xf>
    <xf numFmtId="186" fontId="72" fillId="11" borderId="29" xfId="5" applyNumberFormat="1" applyFont="1" applyFill="1" applyBorder="1" applyAlignment="1">
      <alignment horizontal="right" vertical="center"/>
    </xf>
    <xf numFmtId="165" fontId="75" fillId="11" borderId="29" xfId="5" applyNumberFormat="1" applyFont="1" applyFill="1" applyBorder="1" applyAlignment="1">
      <alignment horizontal="right" vertical="center"/>
    </xf>
    <xf numFmtId="0" fontId="29" fillId="0" borderId="0" xfId="9" applyFont="1"/>
    <xf numFmtId="0" fontId="49" fillId="18" borderId="0" xfId="4" quotePrefix="1" applyFont="1" applyFill="1"/>
    <xf numFmtId="181" fontId="71" fillId="18" borderId="0" xfId="5" applyNumberFormat="1" applyFont="1" applyFill="1" applyBorder="1" applyAlignment="1">
      <alignment horizontal="right" vertical="center"/>
    </xf>
    <xf numFmtId="167" fontId="71" fillId="18" borderId="0" xfId="5" applyNumberFormat="1" applyFont="1" applyFill="1" applyBorder="1" applyAlignment="1">
      <alignment horizontal="right" vertical="center"/>
    </xf>
    <xf numFmtId="182" fontId="50" fillId="18" borderId="0" xfId="5" applyNumberFormat="1" applyFont="1" applyFill="1" applyBorder="1" applyAlignment="1">
      <alignment horizontal="right" vertical="center"/>
    </xf>
    <xf numFmtId="165" fontId="71" fillId="18" borderId="0" xfId="5" applyNumberFormat="1" applyFont="1" applyFill="1" applyBorder="1" applyAlignment="1">
      <alignment horizontal="right" vertical="center"/>
    </xf>
    <xf numFmtId="165" fontId="70" fillId="18" borderId="0" xfId="5" applyNumberFormat="1" applyFont="1" applyFill="1" applyBorder="1" applyAlignment="1">
      <alignment horizontal="center" vertical="center"/>
    </xf>
    <xf numFmtId="167" fontId="71" fillId="16" borderId="0" xfId="5" applyNumberFormat="1" applyFont="1" applyFill="1" applyBorder="1" applyAlignment="1">
      <alignment horizontal="right" vertical="center"/>
    </xf>
    <xf numFmtId="186" fontId="71" fillId="16" borderId="0" xfId="5" applyNumberFormat="1" applyFont="1" applyFill="1" applyBorder="1" applyAlignment="1">
      <alignment horizontal="right" vertical="center"/>
    </xf>
    <xf numFmtId="0" fontId="59" fillId="24" borderId="29" xfId="4" applyFont="1" applyFill="1" applyBorder="1"/>
    <xf numFmtId="165" fontId="59" fillId="24" borderId="29" xfId="5" applyNumberFormat="1" applyFont="1" applyFill="1" applyBorder="1" applyAlignment="1">
      <alignment horizontal="right" vertical="center"/>
    </xf>
    <xf numFmtId="167" fontId="59" fillId="24" borderId="29" xfId="5" applyNumberFormat="1" applyFont="1" applyFill="1" applyBorder="1" applyAlignment="1">
      <alignment horizontal="right" vertical="center"/>
    </xf>
    <xf numFmtId="182" fontId="50" fillId="24" borderId="27" xfId="5" applyNumberFormat="1" applyFont="1" applyFill="1" applyBorder="1" applyAlignment="1">
      <alignment horizontal="right" vertical="center"/>
    </xf>
    <xf numFmtId="165" fontId="68" fillId="24" borderId="29" xfId="5" applyNumberFormat="1" applyFont="1" applyFill="1" applyBorder="1" applyAlignment="1">
      <alignment horizontal="center" vertical="center"/>
    </xf>
    <xf numFmtId="186" fontId="59" fillId="24" borderId="29" xfId="5" applyNumberFormat="1" applyFont="1" applyFill="1" applyBorder="1" applyAlignment="1">
      <alignment horizontal="right" vertical="center"/>
    </xf>
    <xf numFmtId="165" fontId="60" fillId="24" borderId="29" xfId="5" applyNumberFormat="1" applyFont="1" applyFill="1" applyBorder="1" applyAlignment="1">
      <alignment horizontal="right" vertical="center"/>
    </xf>
    <xf numFmtId="0" fontId="59" fillId="17" borderId="30" xfId="4" applyFont="1" applyFill="1" applyBorder="1"/>
    <xf numFmtId="165" fontId="59" fillId="17" borderId="30" xfId="5" applyNumberFormat="1" applyFont="1" applyFill="1" applyBorder="1" applyAlignment="1">
      <alignment horizontal="right" vertical="center"/>
    </xf>
    <xf numFmtId="167" fontId="59" fillId="17" borderId="30" xfId="5" applyNumberFormat="1" applyFont="1" applyFill="1" applyBorder="1" applyAlignment="1">
      <alignment horizontal="right" vertical="center"/>
    </xf>
    <xf numFmtId="182" fontId="50" fillId="17" borderId="27" xfId="5" applyNumberFormat="1" applyFont="1" applyFill="1" applyBorder="1" applyAlignment="1">
      <alignment horizontal="right" vertical="center"/>
    </xf>
    <xf numFmtId="165" fontId="68" fillId="17" borderId="30" xfId="5" applyNumberFormat="1" applyFont="1" applyFill="1" applyBorder="1" applyAlignment="1">
      <alignment horizontal="center" vertical="center"/>
    </xf>
    <xf numFmtId="186" fontId="59" fillId="17" borderId="30" xfId="5" applyNumberFormat="1" applyFont="1" applyFill="1" applyBorder="1" applyAlignment="1">
      <alignment horizontal="right" vertical="center"/>
    </xf>
    <xf numFmtId="165" fontId="60" fillId="17" borderId="30" xfId="5" applyNumberFormat="1" applyFont="1" applyFill="1" applyBorder="1" applyAlignment="1">
      <alignment horizontal="right" vertical="center"/>
    </xf>
    <xf numFmtId="0" fontId="59" fillId="25" borderId="30" xfId="4" applyFont="1" applyFill="1" applyBorder="1"/>
    <xf numFmtId="165" fontId="59" fillId="25" borderId="30" xfId="5" applyNumberFormat="1" applyFont="1" applyFill="1" applyBorder="1" applyAlignment="1">
      <alignment horizontal="right" vertical="center"/>
    </xf>
    <xf numFmtId="167" fontId="59" fillId="25" borderId="30" xfId="5" applyNumberFormat="1" applyFont="1" applyFill="1" applyBorder="1" applyAlignment="1">
      <alignment horizontal="right" vertical="center"/>
    </xf>
    <xf numFmtId="182" fontId="50" fillId="26" borderId="27" xfId="5" applyNumberFormat="1" applyFont="1" applyFill="1" applyBorder="1" applyAlignment="1">
      <alignment horizontal="right" vertical="center"/>
    </xf>
    <xf numFmtId="165" fontId="59" fillId="26" borderId="30" xfId="5" applyNumberFormat="1" applyFont="1" applyFill="1" applyBorder="1" applyAlignment="1">
      <alignment horizontal="right" vertical="center"/>
    </xf>
    <xf numFmtId="165" fontId="68" fillId="26" borderId="30" xfId="5" applyNumberFormat="1" applyFont="1" applyFill="1" applyBorder="1" applyAlignment="1">
      <alignment horizontal="center" vertical="center"/>
    </xf>
    <xf numFmtId="167" fontId="59" fillId="26" borderId="30" xfId="5" applyNumberFormat="1" applyFont="1" applyFill="1" applyBorder="1" applyAlignment="1">
      <alignment horizontal="right" vertical="center"/>
    </xf>
    <xf numFmtId="186" fontId="59" fillId="26" borderId="30" xfId="5" applyNumberFormat="1" applyFont="1" applyFill="1" applyBorder="1" applyAlignment="1">
      <alignment horizontal="right" vertical="center"/>
    </xf>
    <xf numFmtId="165" fontId="60" fillId="26" borderId="30" xfId="5" applyNumberFormat="1" applyFont="1" applyFill="1" applyBorder="1" applyAlignment="1">
      <alignment horizontal="right" vertical="center"/>
    </xf>
    <xf numFmtId="0" fontId="71" fillId="0" borderId="22" xfId="4" applyFont="1" applyBorder="1"/>
    <xf numFmtId="0" fontId="71" fillId="0" borderId="30" xfId="4" applyFont="1" applyBorder="1"/>
    <xf numFmtId="179" fontId="71" fillId="0" borderId="30" xfId="5" applyNumberFormat="1" applyFont="1" applyFill="1" applyBorder="1" applyAlignment="1">
      <alignment horizontal="right" vertical="center"/>
    </xf>
    <xf numFmtId="187" fontId="71" fillId="0" borderId="30" xfId="5" applyNumberFormat="1" applyFont="1" applyFill="1" applyBorder="1" applyAlignment="1">
      <alignment horizontal="right" vertical="center"/>
    </xf>
    <xf numFmtId="182" fontId="50" fillId="0" borderId="22" xfId="5" applyNumberFormat="1" applyFont="1" applyFill="1" applyBorder="1" applyAlignment="1">
      <alignment horizontal="right" vertical="center"/>
    </xf>
    <xf numFmtId="179" fontId="70" fillId="0" borderId="30" xfId="5" applyNumberFormat="1" applyFont="1" applyFill="1" applyBorder="1" applyAlignment="1">
      <alignment horizontal="right" vertical="center"/>
    </xf>
    <xf numFmtId="0" fontId="71" fillId="0" borderId="30" xfId="5" applyNumberFormat="1" applyFont="1" applyFill="1" applyBorder="1" applyAlignment="1">
      <alignment horizontal="right" vertical="center"/>
    </xf>
    <xf numFmtId="0" fontId="71" fillId="6" borderId="22" xfId="4" applyFont="1" applyFill="1" applyBorder="1"/>
    <xf numFmtId="0" fontId="71" fillId="6" borderId="29" xfId="4" applyFont="1" applyFill="1" applyBorder="1"/>
    <xf numFmtId="179" fontId="71" fillId="6" borderId="29" xfId="5" applyNumberFormat="1" applyFont="1" applyFill="1" applyBorder="1" applyAlignment="1">
      <alignment horizontal="right" vertical="center"/>
    </xf>
    <xf numFmtId="187" fontId="71" fillId="6" borderId="29" xfId="5" applyNumberFormat="1" applyFont="1" applyFill="1" applyBorder="1" applyAlignment="1">
      <alignment horizontal="right" vertical="center"/>
    </xf>
    <xf numFmtId="182" fontId="50" fillId="6" borderId="0" xfId="5" applyNumberFormat="1" applyFont="1" applyFill="1" applyBorder="1" applyAlignment="1">
      <alignment horizontal="right" vertical="center"/>
    </xf>
    <xf numFmtId="165" fontId="70" fillId="6" borderId="29" xfId="5" applyNumberFormat="1" applyFont="1" applyFill="1" applyBorder="1" applyAlignment="1">
      <alignment horizontal="right" vertical="center"/>
    </xf>
    <xf numFmtId="180" fontId="71" fillId="6" borderId="29" xfId="5" applyNumberFormat="1" applyFont="1" applyFill="1" applyBorder="1" applyAlignment="1">
      <alignment horizontal="right" vertical="center"/>
    </xf>
    <xf numFmtId="182" fontId="50" fillId="23" borderId="22" xfId="5" applyNumberFormat="1" applyFont="1" applyFill="1" applyBorder="1" applyAlignment="1">
      <alignment horizontal="right" vertical="center"/>
    </xf>
    <xf numFmtId="0" fontId="48" fillId="0" borderId="26" xfId="4" applyFont="1" applyBorder="1"/>
    <xf numFmtId="165" fontId="69" fillId="0" borderId="26" xfId="5" applyNumberFormat="1" applyFont="1" applyFill="1" applyBorder="1" applyAlignment="1">
      <alignment horizontal="right" vertical="center"/>
    </xf>
    <xf numFmtId="167" fontId="69" fillId="0" borderId="31" xfId="5" applyNumberFormat="1" applyFont="1" applyFill="1" applyBorder="1" applyAlignment="1">
      <alignment horizontal="right" vertical="center"/>
    </xf>
    <xf numFmtId="167" fontId="69" fillId="0" borderId="26" xfId="5" applyNumberFormat="1" applyFont="1" applyFill="1" applyBorder="1" applyAlignment="1">
      <alignment horizontal="right" vertical="center"/>
    </xf>
    <xf numFmtId="165" fontId="69" fillId="18" borderId="31" xfId="5" applyNumberFormat="1" applyFont="1" applyFill="1" applyBorder="1" applyAlignment="1">
      <alignment horizontal="right" vertical="center"/>
    </xf>
    <xf numFmtId="165" fontId="70" fillId="18" borderId="31" xfId="5" applyNumberFormat="1" applyFont="1" applyFill="1" applyBorder="1" applyAlignment="1">
      <alignment horizontal="center" vertical="center"/>
    </xf>
    <xf numFmtId="167" fontId="69" fillId="18" borderId="31" xfId="5" applyNumberFormat="1" applyFont="1" applyFill="1" applyBorder="1" applyAlignment="1">
      <alignment horizontal="right" vertical="center"/>
    </xf>
    <xf numFmtId="186" fontId="69" fillId="18" borderId="31" xfId="5" applyNumberFormat="1" applyFont="1" applyFill="1" applyBorder="1" applyAlignment="1">
      <alignment horizontal="right" vertical="center"/>
    </xf>
    <xf numFmtId="165" fontId="71" fillId="18" borderId="31" xfId="5" applyNumberFormat="1" applyFont="1" applyFill="1" applyBorder="1" applyAlignment="1">
      <alignment horizontal="right" vertical="center"/>
    </xf>
    <xf numFmtId="0" fontId="48" fillId="2" borderId="17" xfId="4" applyFont="1" applyFill="1" applyBorder="1"/>
    <xf numFmtId="182" fontId="50" fillId="6" borderId="28" xfId="5" applyNumberFormat="1" applyFont="1" applyFill="1" applyBorder="1" applyAlignment="1">
      <alignment horizontal="right" vertical="center"/>
    </xf>
    <xf numFmtId="0" fontId="48" fillId="0" borderId="32" xfId="4" applyFont="1" applyBorder="1"/>
    <xf numFmtId="0" fontId="48" fillId="0" borderId="17" xfId="4" applyFont="1" applyBorder="1"/>
    <xf numFmtId="165" fontId="69" fillId="18" borderId="0" xfId="5" applyNumberFormat="1" applyFont="1" applyFill="1" applyBorder="1" applyAlignment="1">
      <alignment horizontal="right" vertical="center"/>
    </xf>
    <xf numFmtId="167" fontId="69" fillId="18" borderId="0" xfId="5" applyNumberFormat="1" applyFont="1" applyFill="1" applyBorder="1" applyAlignment="1">
      <alignment horizontal="right" vertical="center"/>
    </xf>
    <xf numFmtId="186" fontId="69" fillId="18" borderId="0" xfId="5" applyNumberFormat="1" applyFont="1" applyFill="1" applyBorder="1" applyAlignment="1">
      <alignment horizontal="right" vertical="center"/>
    </xf>
    <xf numFmtId="0" fontId="48" fillId="2" borderId="29" xfId="4" applyFont="1" applyFill="1" applyBorder="1"/>
    <xf numFmtId="165" fontId="69" fillId="2" borderId="29" xfId="5" applyNumberFormat="1" applyFont="1" applyFill="1" applyBorder="1" applyAlignment="1">
      <alignment horizontal="right" vertical="center"/>
    </xf>
    <xf numFmtId="167" fontId="69" fillId="2" borderId="29" xfId="5" applyNumberFormat="1" applyFont="1" applyFill="1" applyBorder="1" applyAlignment="1">
      <alignment horizontal="right" vertical="center"/>
    </xf>
    <xf numFmtId="165" fontId="70" fillId="2" borderId="29" xfId="5" applyNumberFormat="1" applyFont="1" applyFill="1" applyBorder="1" applyAlignment="1">
      <alignment horizontal="center" vertical="center"/>
    </xf>
    <xf numFmtId="186" fontId="69" fillId="2" borderId="29" xfId="5" applyNumberFormat="1" applyFont="1" applyFill="1" applyBorder="1" applyAlignment="1">
      <alignment horizontal="right" vertical="center"/>
    </xf>
    <xf numFmtId="165" fontId="71" fillId="2" borderId="29" xfId="5" applyNumberFormat="1" applyFont="1" applyFill="1" applyBorder="1" applyAlignment="1">
      <alignment horizontal="right" vertical="center"/>
    </xf>
    <xf numFmtId="0" fontId="59" fillId="17" borderId="0" xfId="4" applyFont="1" applyFill="1"/>
    <xf numFmtId="165" fontId="59" fillId="17" borderId="0" xfId="5" applyNumberFormat="1" applyFont="1" applyFill="1" applyBorder="1" applyAlignment="1">
      <alignment horizontal="right" vertical="center"/>
    </xf>
    <xf numFmtId="167" fontId="59" fillId="17" borderId="0" xfId="5" applyNumberFormat="1" applyFont="1" applyFill="1" applyBorder="1" applyAlignment="1">
      <alignment horizontal="right" vertical="center"/>
    </xf>
    <xf numFmtId="165" fontId="68" fillId="17" borderId="0" xfId="5" applyNumberFormat="1" applyFont="1" applyFill="1" applyBorder="1" applyAlignment="1">
      <alignment horizontal="center" vertical="center"/>
    </xf>
    <xf numFmtId="186" fontId="59" fillId="17" borderId="0" xfId="5" applyNumberFormat="1" applyFont="1" applyFill="1" applyBorder="1" applyAlignment="1">
      <alignment horizontal="right" vertical="center"/>
    </xf>
    <xf numFmtId="165" fontId="60" fillId="17" borderId="0" xfId="5" applyNumberFormat="1" applyFont="1" applyFill="1" applyBorder="1" applyAlignment="1">
      <alignment horizontal="right" vertical="center"/>
    </xf>
    <xf numFmtId="0" fontId="48" fillId="26" borderId="0" xfId="9" applyFont="1" applyFill="1"/>
    <xf numFmtId="165" fontId="59" fillId="21" borderId="30" xfId="5" applyNumberFormat="1" applyFont="1" applyFill="1" applyBorder="1" applyAlignment="1">
      <alignment horizontal="right" vertical="center"/>
    </xf>
    <xf numFmtId="165" fontId="68" fillId="21" borderId="30" xfId="5" applyNumberFormat="1" applyFont="1" applyFill="1" applyBorder="1" applyAlignment="1">
      <alignment horizontal="center" vertical="center"/>
    </xf>
    <xf numFmtId="167" fontId="59" fillId="21" borderId="30" xfId="5" applyNumberFormat="1" applyFont="1" applyFill="1" applyBorder="1" applyAlignment="1">
      <alignment horizontal="right" vertical="center"/>
    </xf>
    <xf numFmtId="186" fontId="59" fillId="21" borderId="30" xfId="5" applyNumberFormat="1" applyFont="1" applyFill="1" applyBorder="1" applyAlignment="1">
      <alignment horizontal="right" vertical="center"/>
    </xf>
    <xf numFmtId="165" fontId="60" fillId="21" borderId="30" xfId="5" applyNumberFormat="1" applyFont="1" applyFill="1" applyBorder="1" applyAlignment="1">
      <alignment horizontal="right" vertical="center"/>
    </xf>
    <xf numFmtId="165" fontId="50" fillId="0" borderId="26" xfId="5" applyNumberFormat="1" applyFont="1" applyFill="1" applyBorder="1" applyAlignment="1">
      <alignment horizontal="right" vertical="center"/>
    </xf>
    <xf numFmtId="0" fontId="48" fillId="0" borderId="23" xfId="4" applyFont="1" applyBorder="1"/>
    <xf numFmtId="167" fontId="69" fillId="0" borderId="33" xfId="5" applyNumberFormat="1" applyFont="1" applyFill="1" applyBorder="1" applyAlignment="1">
      <alignment horizontal="right" vertical="center"/>
    </xf>
    <xf numFmtId="167" fontId="69" fillId="0" borderId="29" xfId="5" applyNumberFormat="1" applyFont="1" applyFill="1" applyBorder="1" applyAlignment="1">
      <alignment horizontal="right" vertical="center"/>
    </xf>
    <xf numFmtId="182" fontId="50" fillId="0" borderId="23" xfId="5" applyNumberFormat="1" applyFont="1" applyFill="1" applyBorder="1" applyAlignment="1">
      <alignment horizontal="right" vertical="center"/>
    </xf>
    <xf numFmtId="165" fontId="69" fillId="0" borderId="29" xfId="5" applyNumberFormat="1" applyFont="1" applyFill="1" applyBorder="1" applyAlignment="1">
      <alignment horizontal="right" vertical="center"/>
    </xf>
    <xf numFmtId="165" fontId="70" fillId="0" borderId="29" xfId="5" applyNumberFormat="1" applyFont="1" applyFill="1" applyBorder="1" applyAlignment="1">
      <alignment horizontal="center" vertical="center"/>
    </xf>
    <xf numFmtId="167" fontId="69" fillId="16" borderId="29" xfId="5" applyNumberFormat="1" applyFont="1" applyFill="1" applyBorder="1" applyAlignment="1">
      <alignment horizontal="right" vertical="center"/>
    </xf>
    <xf numFmtId="186" fontId="69" fillId="16" borderId="29" xfId="5" applyNumberFormat="1" applyFont="1" applyFill="1" applyBorder="1" applyAlignment="1">
      <alignment horizontal="right" vertical="center"/>
    </xf>
    <xf numFmtId="165" fontId="71" fillId="0" borderId="29" xfId="5" applyNumberFormat="1" applyFont="1" applyFill="1" applyBorder="1" applyAlignment="1">
      <alignment horizontal="right" vertical="center"/>
    </xf>
    <xf numFmtId="0" fontId="59" fillId="17" borderId="22" xfId="4" applyFont="1" applyFill="1" applyBorder="1"/>
    <xf numFmtId="165" fontId="59" fillId="17" borderId="22" xfId="5" applyNumberFormat="1" applyFont="1" applyFill="1" applyBorder="1" applyAlignment="1">
      <alignment horizontal="right" vertical="center"/>
    </xf>
    <xf numFmtId="167" fontId="59" fillId="17" borderId="34" xfId="5" applyNumberFormat="1" applyFont="1" applyFill="1" applyBorder="1" applyAlignment="1">
      <alignment horizontal="right" vertical="center"/>
    </xf>
    <xf numFmtId="167" fontId="59" fillId="17" borderId="19" xfId="5" applyNumberFormat="1" applyFont="1" applyFill="1" applyBorder="1" applyAlignment="1">
      <alignment horizontal="right" vertical="center"/>
    </xf>
    <xf numFmtId="167" fontId="59" fillId="17" borderId="22" xfId="5" applyNumberFormat="1" applyFont="1" applyFill="1" applyBorder="1" applyAlignment="1">
      <alignment horizontal="right" vertical="center"/>
    </xf>
    <xf numFmtId="0" fontId="59" fillId="25" borderId="22" xfId="4" applyFont="1" applyFill="1" applyBorder="1"/>
    <xf numFmtId="165" fontId="59" fillId="25" borderId="22" xfId="5" applyNumberFormat="1" applyFont="1" applyFill="1" applyBorder="1" applyAlignment="1">
      <alignment horizontal="right" vertical="center"/>
    </xf>
    <xf numFmtId="167" fontId="59" fillId="25" borderId="0" xfId="5" applyNumberFormat="1" applyFont="1" applyFill="1" applyBorder="1" applyAlignment="1">
      <alignment horizontal="right" vertical="center"/>
    </xf>
    <xf numFmtId="167" fontId="59" fillId="25" borderId="22" xfId="5" applyNumberFormat="1" applyFont="1" applyFill="1" applyBorder="1" applyAlignment="1">
      <alignment horizontal="right" vertical="center"/>
    </xf>
    <xf numFmtId="167" fontId="59" fillId="25" borderId="19" xfId="5" applyNumberFormat="1" applyFont="1" applyFill="1" applyBorder="1" applyAlignment="1">
      <alignment horizontal="right" vertical="center"/>
    </xf>
    <xf numFmtId="165" fontId="59" fillId="26" borderId="22" xfId="5" applyNumberFormat="1" applyFont="1" applyFill="1" applyBorder="1" applyAlignment="1">
      <alignment horizontal="right" vertical="center"/>
    </xf>
    <xf numFmtId="165" fontId="68" fillId="26" borderId="22" xfId="5" applyNumberFormat="1" applyFont="1" applyFill="1" applyBorder="1" applyAlignment="1">
      <alignment horizontal="center" vertical="center"/>
    </xf>
    <xf numFmtId="167" fontId="59" fillId="26" borderId="22" xfId="5" applyNumberFormat="1" applyFont="1" applyFill="1" applyBorder="1" applyAlignment="1">
      <alignment horizontal="right" vertical="center"/>
    </xf>
    <xf numFmtId="186" fontId="59" fillId="26" borderId="22" xfId="5" applyNumberFormat="1" applyFont="1" applyFill="1" applyBorder="1" applyAlignment="1">
      <alignment horizontal="right" vertical="center"/>
    </xf>
    <xf numFmtId="165" fontId="60" fillId="26" borderId="22" xfId="5" applyNumberFormat="1" applyFont="1" applyFill="1" applyBorder="1" applyAlignment="1">
      <alignment horizontal="right" vertical="center"/>
    </xf>
    <xf numFmtId="172" fontId="0" fillId="0" borderId="0" xfId="12" applyNumberFormat="1" applyFont="1"/>
    <xf numFmtId="0" fontId="45" fillId="0" borderId="0" xfId="4" applyFont="1" applyAlignment="1">
      <alignment horizontal="left"/>
    </xf>
    <xf numFmtId="0" fontId="59" fillId="27" borderId="32" xfId="4" applyFont="1" applyFill="1" applyBorder="1"/>
    <xf numFmtId="0" fontId="59" fillId="28" borderId="32" xfId="4" applyFont="1" applyFill="1" applyBorder="1"/>
    <xf numFmtId="0" fontId="59" fillId="0" borderId="0" xfId="4" applyFont="1" applyAlignment="1">
      <alignment horizontal="center"/>
    </xf>
    <xf numFmtId="190" fontId="59" fillId="28" borderId="23" xfId="5" applyNumberFormat="1" applyFont="1" applyFill="1" applyBorder="1" applyAlignment="1">
      <alignment horizontal="right" vertical="center"/>
    </xf>
    <xf numFmtId="167" fontId="59" fillId="28" borderId="23" xfId="5" applyNumberFormat="1" applyFont="1" applyFill="1" applyBorder="1" applyAlignment="1">
      <alignment horizontal="right" vertical="center"/>
    </xf>
    <xf numFmtId="0" fontId="59" fillId="0" borderId="0" xfId="4" applyFont="1" applyAlignment="1">
      <alignment horizontal="right"/>
    </xf>
    <xf numFmtId="0" fontId="59" fillId="0" borderId="0" xfId="9" applyFont="1" applyAlignment="1">
      <alignment horizontal="right"/>
    </xf>
    <xf numFmtId="182" fontId="67" fillId="17" borderId="27" xfId="5" applyNumberFormat="1" applyFont="1" applyFill="1" applyBorder="1" applyAlignment="1">
      <alignment horizontal="right" vertical="center"/>
    </xf>
    <xf numFmtId="0" fontId="76" fillId="0" borderId="0" xfId="9" applyFont="1"/>
    <xf numFmtId="0" fontId="59" fillId="0" borderId="0" xfId="9" applyFont="1"/>
    <xf numFmtId="165" fontId="77" fillId="28" borderId="23" xfId="5" applyNumberFormat="1" applyFont="1" applyFill="1" applyBorder="1" applyAlignment="1">
      <alignment horizontal="left" vertical="center" indent="1"/>
    </xf>
    <xf numFmtId="167" fontId="59" fillId="28" borderId="23" xfId="5" applyNumberFormat="1" applyFont="1" applyFill="1" applyBorder="1" applyAlignment="1">
      <alignment horizontal="left" vertical="center" indent="1"/>
    </xf>
    <xf numFmtId="165" fontId="59" fillId="28" borderId="23" xfId="5" applyNumberFormat="1" applyFont="1" applyFill="1" applyBorder="1" applyAlignment="1">
      <alignment horizontal="left" vertical="center" indent="1"/>
    </xf>
    <xf numFmtId="0" fontId="59" fillId="26" borderId="32" xfId="4" applyFont="1" applyFill="1" applyBorder="1"/>
    <xf numFmtId="190" fontId="59" fillId="26" borderId="23" xfId="5" applyNumberFormat="1" applyFont="1" applyFill="1" applyBorder="1" applyAlignment="1">
      <alignment horizontal="right" vertical="center"/>
    </xf>
    <xf numFmtId="167" fontId="59" fillId="26" borderId="23" xfId="5" applyNumberFormat="1" applyFont="1" applyFill="1" applyBorder="1" applyAlignment="1">
      <alignment horizontal="right" vertical="center"/>
    </xf>
    <xf numFmtId="182" fontId="67" fillId="26" borderId="27" xfId="5" applyNumberFormat="1" applyFont="1" applyFill="1" applyBorder="1" applyAlignment="1">
      <alignment horizontal="right" vertical="center"/>
    </xf>
    <xf numFmtId="0" fontId="78" fillId="0" borderId="0" xfId="9" applyFont="1"/>
    <xf numFmtId="165" fontId="79" fillId="26" borderId="17" xfId="5" applyNumberFormat="1" applyFont="1" applyFill="1" applyBorder="1" applyAlignment="1">
      <alignment horizontal="center" vertical="center"/>
    </xf>
    <xf numFmtId="191" fontId="59" fillId="26" borderId="17" xfId="5" applyNumberFormat="1" applyFont="1" applyFill="1" applyBorder="1" applyAlignment="1">
      <alignment horizontal="right" vertical="center"/>
    </xf>
    <xf numFmtId="190" fontId="59" fillId="27" borderId="23" xfId="5" applyNumberFormat="1" applyFont="1" applyFill="1" applyBorder="1" applyAlignment="1">
      <alignment horizontal="right" vertical="center"/>
    </xf>
    <xf numFmtId="192" fontId="59" fillId="27" borderId="23" xfId="5" applyNumberFormat="1" applyFont="1" applyFill="1" applyBorder="1" applyAlignment="1">
      <alignment horizontal="right" vertical="center"/>
    </xf>
    <xf numFmtId="167" fontId="59" fillId="27" borderId="23" xfId="5" applyNumberFormat="1" applyFont="1" applyFill="1" applyBorder="1" applyAlignment="1">
      <alignment horizontal="right" vertical="center"/>
    </xf>
    <xf numFmtId="165" fontId="79" fillId="28" borderId="23" xfId="5" applyNumberFormat="1" applyFont="1" applyFill="1" applyBorder="1" applyAlignment="1">
      <alignment horizontal="center" vertical="center"/>
    </xf>
    <xf numFmtId="167" fontId="59" fillId="28" borderId="23" xfId="5" applyNumberFormat="1" applyFont="1" applyFill="1" applyBorder="1" applyAlignment="1">
      <alignment horizontal="right" vertical="center" indent="1"/>
    </xf>
    <xf numFmtId="191" fontId="59" fillId="28" borderId="23" xfId="5" applyNumberFormat="1" applyFont="1" applyFill="1" applyBorder="1" applyAlignment="1">
      <alignment horizontal="right" vertical="center"/>
    </xf>
    <xf numFmtId="0" fontId="49" fillId="0" borderId="22" xfId="4" applyFont="1" applyBorder="1" applyAlignment="1">
      <alignment horizontal="left" indent="1"/>
    </xf>
    <xf numFmtId="0" fontId="49" fillId="0" borderId="30" xfId="4" applyFont="1" applyBorder="1" applyAlignment="1">
      <alignment horizontal="left" indent="1"/>
    </xf>
    <xf numFmtId="0" fontId="50" fillId="0" borderId="0" xfId="4" applyFont="1" applyAlignment="1">
      <alignment horizontal="center" vertical="center"/>
    </xf>
    <xf numFmtId="0" fontId="48" fillId="0" borderId="0" xfId="4" applyFont="1" applyAlignment="1">
      <alignment horizontal="center" vertical="center"/>
    </xf>
    <xf numFmtId="0" fontId="46" fillId="0" borderId="0" xfId="4" applyFont="1" applyAlignment="1">
      <alignment horizontal="center" vertical="center"/>
    </xf>
    <xf numFmtId="186" fontId="48" fillId="0" borderId="0" xfId="4" applyNumberFormat="1" applyFont="1" applyAlignment="1">
      <alignment horizontal="center" vertical="center"/>
    </xf>
    <xf numFmtId="0" fontId="49" fillId="0" borderId="0" xfId="4" applyFont="1" applyAlignment="1">
      <alignment horizontal="center" vertical="center"/>
    </xf>
    <xf numFmtId="0" fontId="49" fillId="0" borderId="0" xfId="4" applyFont="1" applyAlignment="1">
      <alignment horizontal="left" indent="1"/>
    </xf>
    <xf numFmtId="172" fontId="49" fillId="0" borderId="0" xfId="12" applyNumberFormat="1" applyFont="1" applyAlignment="1">
      <alignment horizontal="left" vertical="center"/>
    </xf>
    <xf numFmtId="0" fontId="59" fillId="0" borderId="22" xfId="4" applyFont="1" applyBorder="1"/>
    <xf numFmtId="0" fontId="59" fillId="0" borderId="0" xfId="4" applyFont="1"/>
    <xf numFmtId="165" fontId="59" fillId="0" borderId="0" xfId="5" applyNumberFormat="1" applyFont="1" applyFill="1" applyBorder="1" applyAlignment="1">
      <alignment horizontal="right" vertical="center"/>
    </xf>
    <xf numFmtId="165" fontId="67" fillId="0" borderId="0" xfId="5" applyNumberFormat="1" applyFont="1" applyFill="1" applyBorder="1" applyAlignment="1">
      <alignment horizontal="right" vertical="center"/>
    </xf>
    <xf numFmtId="165" fontId="77" fillId="0" borderId="0" xfId="5" applyNumberFormat="1" applyFont="1" applyFill="1" applyBorder="1" applyAlignment="1">
      <alignment horizontal="right" vertical="center"/>
    </xf>
    <xf numFmtId="186" fontId="59" fillId="0" borderId="0" xfId="5" applyNumberFormat="1" applyFont="1" applyFill="1" applyBorder="1" applyAlignment="1">
      <alignment horizontal="right" vertical="center"/>
    </xf>
    <xf numFmtId="165" fontId="60" fillId="0" borderId="0" xfId="5" applyNumberFormat="1" applyFont="1" applyFill="1" applyBorder="1" applyAlignment="1">
      <alignment horizontal="right" vertical="center"/>
    </xf>
    <xf numFmtId="193" fontId="69" fillId="0" borderId="0" xfId="5" applyNumberFormat="1" applyFont="1" applyFill="1" applyBorder="1" applyAlignment="1">
      <alignment horizontal="right" vertical="center"/>
    </xf>
    <xf numFmtId="165" fontId="55" fillId="0" borderId="0" xfId="5" applyNumberFormat="1" applyFont="1" applyFill="1" applyBorder="1" applyAlignment="1">
      <alignment horizontal="right" vertical="center"/>
    </xf>
    <xf numFmtId="0" fontId="80" fillId="0" borderId="0" xfId="4" applyFont="1"/>
    <xf numFmtId="0" fontId="44" fillId="0" borderId="0" xfId="4" applyFont="1"/>
    <xf numFmtId="0" fontId="72" fillId="0" borderId="22" xfId="4" applyFont="1" applyBorder="1"/>
    <xf numFmtId="0" fontId="72" fillId="0" borderId="0" xfId="4" applyFont="1"/>
    <xf numFmtId="0" fontId="76" fillId="0" borderId="0" xfId="4" applyFont="1" applyAlignment="1">
      <alignment horizontal="center"/>
    </xf>
    <xf numFmtId="165" fontId="72" fillId="0" borderId="0" xfId="5" applyNumberFormat="1" applyFont="1" applyFill="1" applyBorder="1" applyAlignment="1">
      <alignment horizontal="right" vertical="center"/>
    </xf>
    <xf numFmtId="167" fontId="72" fillId="0" borderId="0" xfId="5" applyNumberFormat="1" applyFont="1" applyFill="1" applyBorder="1" applyAlignment="1">
      <alignment horizontal="right" vertical="center"/>
    </xf>
    <xf numFmtId="193" fontId="72" fillId="0" borderId="0" xfId="5" applyNumberFormat="1" applyFont="1" applyFill="1" applyBorder="1" applyAlignment="1">
      <alignment horizontal="right" vertical="center"/>
    </xf>
    <xf numFmtId="165" fontId="70" fillId="0" borderId="0" xfId="5" applyNumberFormat="1" applyFont="1" applyFill="1" applyBorder="1" applyAlignment="1">
      <alignment horizontal="right" vertical="center"/>
    </xf>
    <xf numFmtId="186" fontId="72" fillId="0" borderId="0" xfId="5" applyNumberFormat="1" applyFont="1" applyFill="1" applyBorder="1" applyAlignment="1">
      <alignment horizontal="right" vertical="center"/>
    </xf>
    <xf numFmtId="165" fontId="75" fillId="0" borderId="0" xfId="5" applyNumberFormat="1" applyFont="1" applyFill="1" applyBorder="1" applyAlignment="1">
      <alignment horizontal="right" vertical="center"/>
    </xf>
    <xf numFmtId="165" fontId="81" fillId="0" borderId="0" xfId="5" applyNumberFormat="1" applyFont="1" applyFill="1" applyBorder="1" applyAlignment="1">
      <alignment horizontal="right" vertical="center"/>
    </xf>
    <xf numFmtId="0" fontId="69" fillId="0" borderId="22" xfId="4" applyFont="1" applyBorder="1"/>
    <xf numFmtId="0" fontId="69" fillId="0" borderId="0" xfId="4" applyFont="1"/>
    <xf numFmtId="0" fontId="72" fillId="0" borderId="29" xfId="4" applyFont="1" applyBorder="1"/>
    <xf numFmtId="167" fontId="59" fillId="0" borderId="0" xfId="5" applyNumberFormat="1" applyFont="1" applyFill="1" applyBorder="1" applyAlignment="1">
      <alignment horizontal="right" vertical="center"/>
    </xf>
    <xf numFmtId="165" fontId="79" fillId="0" borderId="0" xfId="5" applyNumberFormat="1" applyFont="1" applyFill="1" applyBorder="1" applyAlignment="1">
      <alignment horizontal="right" vertical="center"/>
    </xf>
    <xf numFmtId="0" fontId="61" fillId="0" borderId="0" xfId="4" applyFont="1"/>
    <xf numFmtId="0" fontId="82" fillId="0" borderId="0" xfId="5" applyNumberFormat="1" applyFont="1" applyFill="1" applyBorder="1" applyAlignment="1">
      <alignment horizontal="center" vertical="center"/>
    </xf>
    <xf numFmtId="165" fontId="82" fillId="0" borderId="0" xfId="5" applyNumberFormat="1" applyFont="1" applyFill="1" applyBorder="1" applyAlignment="1">
      <alignment horizontal="center" vertical="center"/>
    </xf>
    <xf numFmtId="0" fontId="50" fillId="0" borderId="0" xfId="5" applyNumberFormat="1" applyFont="1" applyFill="1" applyBorder="1" applyAlignment="1">
      <alignment horizontal="center" vertical="center"/>
    </xf>
    <xf numFmtId="0" fontId="83" fillId="0" borderId="0" xfId="5" applyNumberFormat="1" applyFont="1" applyFill="1" applyBorder="1" applyAlignment="1">
      <alignment horizontal="center" vertical="center"/>
    </xf>
    <xf numFmtId="0" fontId="59" fillId="0" borderId="30" xfId="4" applyFont="1" applyBorder="1"/>
    <xf numFmtId="165" fontId="50" fillId="0" borderId="0" xfId="5" applyNumberFormat="1" applyFont="1" applyFill="1" applyBorder="1" applyAlignment="1">
      <alignment horizontal="right" vertical="center"/>
    </xf>
    <xf numFmtId="0" fontId="59" fillId="0" borderId="29" xfId="4" applyFont="1" applyBorder="1"/>
    <xf numFmtId="182" fontId="67" fillId="0" borderId="0" xfId="5" applyNumberFormat="1" applyFont="1" applyFill="1" applyBorder="1" applyAlignment="1">
      <alignment horizontal="right" vertical="center"/>
    </xf>
    <xf numFmtId="167" fontId="69" fillId="29" borderId="0" xfId="5" applyNumberFormat="1" applyFont="1" applyFill="1" applyBorder="1" applyAlignment="1">
      <alignment horizontal="right" vertical="center"/>
    </xf>
    <xf numFmtId="0" fontId="76" fillId="0" borderId="35" xfId="4" applyFont="1" applyBorder="1"/>
    <xf numFmtId="167" fontId="72" fillId="18" borderId="35" xfId="5" applyNumberFormat="1" applyFont="1" applyFill="1" applyBorder="1" applyAlignment="1">
      <alignment horizontal="right" vertical="center"/>
    </xf>
    <xf numFmtId="0" fontId="84" fillId="0" borderId="0" xfId="9" applyFont="1"/>
    <xf numFmtId="0" fontId="76" fillId="0" borderId="0" xfId="4" applyFont="1"/>
    <xf numFmtId="167" fontId="72" fillId="18" borderId="0" xfId="5" applyNumberFormat="1" applyFont="1" applyFill="1" applyBorder="1" applyAlignment="1">
      <alignment horizontal="right" vertical="center"/>
    </xf>
    <xf numFmtId="194" fontId="10" fillId="0" borderId="0" xfId="4" applyNumberFormat="1" applyFont="1"/>
    <xf numFmtId="0" fontId="69" fillId="6" borderId="22" xfId="4" applyFont="1" applyFill="1" applyBorder="1"/>
    <xf numFmtId="179" fontId="69" fillId="6" borderId="22" xfId="5" applyNumberFormat="1" applyFont="1" applyFill="1" applyBorder="1" applyAlignment="1">
      <alignment horizontal="right" vertical="center"/>
    </xf>
    <xf numFmtId="179" fontId="69" fillId="0" borderId="22" xfId="5" applyNumberFormat="1" applyFont="1" applyFill="1" applyBorder="1" applyAlignment="1">
      <alignment horizontal="right" vertical="center"/>
    </xf>
    <xf numFmtId="188" fontId="69" fillId="0" borderId="22" xfId="5" applyNumberFormat="1" applyFont="1" applyFill="1" applyBorder="1" applyAlignment="1">
      <alignment horizontal="right" vertical="center"/>
    </xf>
    <xf numFmtId="189" fontId="69" fillId="6" borderId="22" xfId="5" applyNumberFormat="1" applyFont="1" applyFill="1" applyBorder="1" applyAlignment="1">
      <alignment horizontal="right" vertical="center"/>
    </xf>
    <xf numFmtId="182" fontId="50" fillId="4" borderId="0" xfId="5" applyNumberFormat="1" applyFont="1" applyFill="1" applyBorder="1" applyAlignment="1">
      <alignment horizontal="right" vertical="center"/>
    </xf>
    <xf numFmtId="0" fontId="69" fillId="23" borderId="22" xfId="4" applyFont="1" applyFill="1" applyBorder="1"/>
    <xf numFmtId="179" fontId="69" fillId="23" borderId="22" xfId="5" applyNumberFormat="1" applyFont="1" applyFill="1" applyBorder="1" applyAlignment="1">
      <alignment horizontal="right" vertical="center"/>
    </xf>
    <xf numFmtId="189" fontId="69" fillId="23" borderId="22" xfId="5" applyNumberFormat="1" applyFont="1" applyFill="1" applyBorder="1" applyAlignment="1">
      <alignment horizontal="right" vertical="center"/>
    </xf>
    <xf numFmtId="182" fontId="50" fillId="4" borderId="22" xfId="5" applyNumberFormat="1" applyFont="1" applyFill="1" applyBorder="1" applyAlignment="1">
      <alignment horizontal="right" vertical="center"/>
    </xf>
    <xf numFmtId="165" fontId="70" fillId="23" borderId="22" xfId="5" applyNumberFormat="1" applyFont="1" applyFill="1" applyBorder="1" applyAlignment="1">
      <alignment horizontal="right" vertical="center"/>
    </xf>
    <xf numFmtId="179" fontId="71" fillId="23" borderId="22" xfId="5" applyNumberFormat="1" applyFont="1" applyFill="1" applyBorder="1" applyAlignment="1">
      <alignment horizontal="right" vertical="center"/>
    </xf>
    <xf numFmtId="172" fontId="69" fillId="0" borderId="22" xfId="12" applyNumberFormat="1" applyFont="1" applyFill="1" applyBorder="1" applyAlignment="1">
      <alignment horizontal="right" vertical="center"/>
    </xf>
    <xf numFmtId="189" fontId="69" fillId="0" borderId="22" xfId="12" applyNumberFormat="1" applyFont="1" applyFill="1" applyBorder="1" applyAlignment="1">
      <alignment horizontal="right" vertical="center"/>
    </xf>
    <xf numFmtId="182" fontId="85" fillId="0" borderId="22" xfId="12" applyNumberFormat="1" applyFont="1" applyFill="1" applyBorder="1" applyAlignment="1">
      <alignment horizontal="right" vertical="center"/>
    </xf>
    <xf numFmtId="182" fontId="85" fillId="4" borderId="22" xfId="12" applyNumberFormat="1" applyFont="1" applyFill="1" applyBorder="1" applyAlignment="1">
      <alignment horizontal="right" vertical="center"/>
    </xf>
    <xf numFmtId="179" fontId="69" fillId="0" borderId="0" xfId="5" applyNumberFormat="1" applyFont="1" applyFill="1" applyBorder="1" applyAlignment="1">
      <alignment horizontal="right" vertical="center"/>
    </xf>
    <xf numFmtId="189" fontId="69" fillId="0" borderId="0" xfId="5" applyNumberFormat="1" applyFont="1" applyFill="1" applyBorder="1" applyAlignment="1">
      <alignment horizontal="right" vertical="center"/>
    </xf>
    <xf numFmtId="188" fontId="69" fillId="23" borderId="22" xfId="5" applyNumberFormat="1" applyFont="1" applyFill="1" applyBorder="1" applyAlignment="1">
      <alignment horizontal="right" vertical="center"/>
    </xf>
    <xf numFmtId="0" fontId="3" fillId="0" borderId="0" xfId="4" applyFont="1"/>
    <xf numFmtId="0" fontId="86" fillId="0" borderId="0" xfId="4" applyFont="1"/>
    <xf numFmtId="165" fontId="69" fillId="0" borderId="0" xfId="5" applyNumberFormat="1" applyFont="1" applyFill="1" applyBorder="1" applyAlignment="1">
      <alignment horizontal="center" vertical="center"/>
    </xf>
    <xf numFmtId="165" fontId="69" fillId="29" borderId="0" xfId="5" applyNumberFormat="1" applyFont="1" applyFill="1" applyBorder="1" applyAlignment="1">
      <alignment horizontal="center" vertical="center"/>
    </xf>
    <xf numFmtId="167" fontId="69" fillId="29" borderId="0" xfId="5" applyNumberFormat="1" applyFont="1" applyFill="1" applyBorder="1" applyAlignment="1">
      <alignment horizontal="center" vertical="center"/>
    </xf>
    <xf numFmtId="0" fontId="48" fillId="0" borderId="0" xfId="9" applyFont="1" applyAlignment="1">
      <alignment horizontal="center"/>
    </xf>
    <xf numFmtId="183" fontId="72" fillId="0" borderId="35" xfId="5" applyNumberFormat="1" applyFont="1" applyFill="1" applyBorder="1" applyAlignment="1">
      <alignment horizontal="center" vertical="center"/>
    </xf>
    <xf numFmtId="183" fontId="69" fillId="29" borderId="35" xfId="5" applyNumberFormat="1" applyFont="1" applyFill="1" applyBorder="1" applyAlignment="1">
      <alignment horizontal="center" vertical="center"/>
    </xf>
    <xf numFmtId="167" fontId="72" fillId="18" borderId="35" xfId="5" applyNumberFormat="1" applyFont="1" applyFill="1" applyBorder="1" applyAlignment="1">
      <alignment horizontal="center" vertical="center"/>
    </xf>
    <xf numFmtId="0" fontId="76" fillId="0" borderId="0" xfId="9" applyFont="1" applyAlignment="1">
      <alignment horizontal="center"/>
    </xf>
    <xf numFmtId="183" fontId="72" fillId="0" borderId="0" xfId="5" applyNumberFormat="1" applyFont="1" applyFill="1" applyBorder="1" applyAlignment="1">
      <alignment horizontal="center" vertical="center"/>
    </xf>
    <xf numFmtId="183" fontId="69" fillId="29" borderId="0" xfId="5" applyNumberFormat="1" applyFont="1" applyFill="1" applyBorder="1" applyAlignment="1">
      <alignment horizontal="center" vertical="center"/>
    </xf>
    <xf numFmtId="167" fontId="72" fillId="18" borderId="0" xfId="5" applyNumberFormat="1" applyFont="1" applyFill="1" applyBorder="1" applyAlignment="1">
      <alignment horizontal="center" vertical="center"/>
    </xf>
    <xf numFmtId="183" fontId="69" fillId="0" borderId="0" xfId="5" applyNumberFormat="1" applyFont="1" applyFill="1" applyBorder="1" applyAlignment="1">
      <alignment horizontal="center" vertical="center"/>
    </xf>
    <xf numFmtId="167" fontId="69" fillId="18" borderId="0" xfId="5" applyNumberFormat="1" applyFont="1" applyFill="1" applyBorder="1" applyAlignment="1">
      <alignment horizontal="center" vertical="center"/>
    </xf>
    <xf numFmtId="179" fontId="69" fillId="0" borderId="22" xfId="5" applyNumberFormat="1" applyFont="1" applyFill="1" applyBorder="1" applyAlignment="1">
      <alignment horizontal="center" vertical="center"/>
    </xf>
    <xf numFmtId="188" fontId="69" fillId="0" borderId="22" xfId="5" applyNumberFormat="1" applyFont="1" applyFill="1" applyBorder="1" applyAlignment="1">
      <alignment horizontal="center" vertical="center"/>
    </xf>
    <xf numFmtId="179" fontId="69" fillId="6" borderId="22" xfId="5" applyNumberFormat="1" applyFont="1" applyFill="1" applyBorder="1" applyAlignment="1">
      <alignment horizontal="center" vertical="center"/>
    </xf>
    <xf numFmtId="189" fontId="69" fillId="6" borderId="22" xfId="5" applyNumberFormat="1" applyFont="1" applyFill="1" applyBorder="1" applyAlignment="1">
      <alignment horizontal="center" vertical="center"/>
    </xf>
    <xf numFmtId="179" fontId="69" fillId="23" borderId="22" xfId="5" applyNumberFormat="1" applyFont="1" applyFill="1" applyBorder="1" applyAlignment="1">
      <alignment horizontal="center" vertical="center"/>
    </xf>
    <xf numFmtId="189" fontId="69" fillId="23" borderId="22" xfId="5" applyNumberFormat="1" applyFont="1" applyFill="1" applyBorder="1" applyAlignment="1">
      <alignment horizontal="center" vertical="center"/>
    </xf>
    <xf numFmtId="172" fontId="69" fillId="0" borderId="22" xfId="12" applyNumberFormat="1" applyFont="1" applyFill="1" applyBorder="1" applyAlignment="1">
      <alignment horizontal="center" vertical="center"/>
    </xf>
    <xf numFmtId="189" fontId="69" fillId="0" borderId="22" xfId="12" applyNumberFormat="1" applyFont="1" applyFill="1" applyBorder="1" applyAlignment="1">
      <alignment horizontal="center" vertical="center"/>
    </xf>
    <xf numFmtId="179" fontId="69" fillId="0" borderId="0" xfId="5" applyNumberFormat="1" applyFont="1" applyFill="1" applyBorder="1" applyAlignment="1">
      <alignment horizontal="center" vertical="center"/>
    </xf>
    <xf numFmtId="189" fontId="69" fillId="0" borderId="0" xfId="5" applyNumberFormat="1" applyFont="1" applyFill="1" applyBorder="1" applyAlignment="1">
      <alignment horizontal="center" vertical="center"/>
    </xf>
    <xf numFmtId="0" fontId="59" fillId="7" borderId="24" xfId="11" applyFont="1" applyFill="1" applyBorder="1" applyAlignment="1">
      <alignment horizontal="center" wrapText="1"/>
    </xf>
    <xf numFmtId="0" fontId="59" fillId="21" borderId="24" xfId="11" applyFont="1" applyFill="1" applyBorder="1" applyAlignment="1">
      <alignment horizontal="center" wrapText="1"/>
    </xf>
    <xf numFmtId="0" fontId="68" fillId="21" borderId="24" xfId="11" applyFont="1" applyFill="1" applyBorder="1" applyAlignment="1">
      <alignment horizontal="center" wrapText="1"/>
    </xf>
    <xf numFmtId="0" fontId="60" fillId="21" borderId="24" xfId="11" applyFont="1" applyFill="1" applyBorder="1" applyAlignment="1">
      <alignment horizontal="center" wrapText="1"/>
    </xf>
    <xf numFmtId="183" fontId="55" fillId="0" borderId="0" xfId="5" applyNumberFormat="1" applyFont="1" applyFill="1" applyBorder="1" applyAlignment="1">
      <alignment horizontal="left" vertical="center" indent="1"/>
    </xf>
    <xf numFmtId="165" fontId="69" fillId="2" borderId="0" xfId="5" applyNumberFormat="1" applyFont="1" applyFill="1" applyBorder="1" applyAlignment="1">
      <alignment horizontal="right" vertical="center"/>
    </xf>
    <xf numFmtId="167" fontId="69" fillId="2" borderId="0" xfId="5" applyNumberFormat="1" applyFont="1" applyFill="1" applyBorder="1" applyAlignment="1">
      <alignment horizontal="right" vertical="center"/>
    </xf>
    <xf numFmtId="165" fontId="69" fillId="2" borderId="28" xfId="5" applyNumberFormat="1" applyFont="1" applyFill="1" applyBorder="1" applyAlignment="1">
      <alignment horizontal="left" vertical="center"/>
    </xf>
    <xf numFmtId="165" fontId="69" fillId="0" borderId="0" xfId="5" applyNumberFormat="1" applyFont="1" applyFill="1" applyBorder="1" applyAlignment="1">
      <alignment horizontal="left" vertical="center"/>
    </xf>
    <xf numFmtId="0" fontId="1" fillId="0" borderId="0" xfId="4" applyFont="1"/>
    <xf numFmtId="0" fontId="48" fillId="0" borderId="0" xfId="0" applyFont="1"/>
    <xf numFmtId="182" fontId="50" fillId="0" borderId="25" xfId="5" applyNumberFormat="1" applyFont="1" applyFill="1" applyBorder="1" applyAlignment="1">
      <alignment horizontal="right" indent="1"/>
    </xf>
    <xf numFmtId="182" fontId="50" fillId="0" borderId="23" xfId="5" applyNumberFormat="1" applyFont="1" applyFill="1" applyBorder="1" applyAlignment="1">
      <alignment horizontal="right" vertical="center" indent="1"/>
    </xf>
    <xf numFmtId="167" fontId="59" fillId="17" borderId="33" xfId="5" applyNumberFormat="1" applyFont="1" applyFill="1" applyBorder="1" applyAlignment="1">
      <alignment horizontal="right" vertical="center"/>
    </xf>
    <xf numFmtId="165" fontId="69" fillId="0" borderId="25" xfId="5" applyNumberFormat="1" applyFont="1" applyFill="1" applyBorder="1" applyAlignment="1">
      <alignment horizontal="center"/>
    </xf>
    <xf numFmtId="165" fontId="69" fillId="0" borderId="23" xfId="5" applyNumberFormat="1" applyFont="1" applyFill="1" applyBorder="1" applyAlignment="1">
      <alignment horizontal="center" vertical="center"/>
    </xf>
    <xf numFmtId="186" fontId="69" fillId="16" borderId="26" xfId="5" applyNumberFormat="1" applyFont="1" applyFill="1" applyBorder="1" applyAlignment="1">
      <alignment horizontal="center"/>
    </xf>
    <xf numFmtId="165" fontId="71" fillId="0" borderId="25" xfId="5" applyNumberFormat="1" applyFont="1" applyFill="1" applyBorder="1" applyAlignment="1">
      <alignment horizontal="center"/>
    </xf>
    <xf numFmtId="186" fontId="69" fillId="16" borderId="19" xfId="5" applyNumberFormat="1" applyFont="1" applyFill="1" applyBorder="1" applyAlignment="1">
      <alignment horizontal="center" vertical="center"/>
    </xf>
    <xf numFmtId="165" fontId="71" fillId="0" borderId="23" xfId="5" applyNumberFormat="1" applyFont="1" applyFill="1" applyBorder="1" applyAlignment="1">
      <alignment horizontal="center" vertical="center"/>
    </xf>
    <xf numFmtId="165" fontId="69" fillId="18" borderId="27" xfId="5" applyNumberFormat="1" applyFont="1" applyFill="1" applyBorder="1" applyAlignment="1">
      <alignment horizontal="center" vertical="center"/>
    </xf>
    <xf numFmtId="186" fontId="69" fillId="18" borderId="27" xfId="5" applyNumberFormat="1" applyFont="1" applyFill="1" applyBorder="1" applyAlignment="1">
      <alignment horizontal="center" vertical="center"/>
    </xf>
    <xf numFmtId="165" fontId="71" fillId="18" borderId="27" xfId="5" applyNumberFormat="1" applyFont="1" applyFill="1" applyBorder="1" applyAlignment="1">
      <alignment horizontal="center" vertical="center"/>
    </xf>
    <xf numFmtId="165" fontId="59" fillId="30" borderId="22" xfId="5" applyNumberFormat="1" applyFont="1" applyFill="1" applyBorder="1" applyAlignment="1">
      <alignment horizontal="right" vertical="center"/>
    </xf>
    <xf numFmtId="165" fontId="68" fillId="30" borderId="22" xfId="5" applyNumberFormat="1" applyFont="1" applyFill="1" applyBorder="1" applyAlignment="1">
      <alignment horizontal="center" vertical="center"/>
    </xf>
    <xf numFmtId="167" fontId="59" fillId="30" borderId="22" xfId="5" applyNumberFormat="1" applyFont="1" applyFill="1" applyBorder="1" applyAlignment="1">
      <alignment horizontal="right" vertical="center"/>
    </xf>
    <xf numFmtId="186" fontId="59" fillId="30" borderId="22" xfId="5" applyNumberFormat="1" applyFont="1" applyFill="1" applyBorder="1" applyAlignment="1">
      <alignment horizontal="right" vertical="center"/>
    </xf>
    <xf numFmtId="165" fontId="60" fillId="30" borderId="22" xfId="5" applyNumberFormat="1" applyFont="1" applyFill="1" applyBorder="1" applyAlignment="1">
      <alignment horizontal="right" vertical="center"/>
    </xf>
    <xf numFmtId="0" fontId="18" fillId="0" borderId="8" xfId="4" applyFont="1" applyBorder="1" applyAlignment="1">
      <alignment horizontal="left" indent="1"/>
    </xf>
    <xf numFmtId="0" fontId="18" fillId="8" borderId="8" xfId="4" applyFont="1" applyFill="1" applyBorder="1" applyAlignment="1">
      <alignment horizontal="left" indent="1"/>
    </xf>
    <xf numFmtId="169" fontId="20" fillId="0" borderId="16" xfId="5" applyNumberFormat="1" applyFont="1" applyFill="1" applyBorder="1" applyAlignment="1">
      <alignment horizontal="center" vertical="center"/>
    </xf>
    <xf numFmtId="167" fontId="20" fillId="0" borderId="16" xfId="5" applyNumberFormat="1" applyFont="1" applyFill="1" applyBorder="1" applyAlignment="1">
      <alignment horizontal="center" vertical="center"/>
    </xf>
    <xf numFmtId="169" fontId="20" fillId="0" borderId="15" xfId="5" applyNumberFormat="1" applyFont="1" applyFill="1" applyBorder="1" applyAlignment="1">
      <alignment horizontal="center" vertical="center"/>
    </xf>
    <xf numFmtId="167" fontId="20" fillId="0" borderId="15" xfId="5" applyNumberFormat="1" applyFont="1" applyFill="1" applyBorder="1" applyAlignment="1">
      <alignment horizontal="center" vertical="center"/>
    </xf>
    <xf numFmtId="0" fontId="20" fillId="0" borderId="0" xfId="0" applyFont="1" applyAlignment="1">
      <alignment vertical="center"/>
    </xf>
    <xf numFmtId="167" fontId="20" fillId="0" borderId="0" xfId="5" applyNumberFormat="1" applyFont="1" applyFill="1" applyBorder="1" applyAlignment="1">
      <alignment horizontal="center" vertical="center"/>
    </xf>
    <xf numFmtId="169" fontId="8" fillId="7" borderId="17" xfId="5" applyNumberFormat="1" applyFont="1" applyFill="1" applyBorder="1" applyAlignment="1">
      <alignment horizontal="center" vertical="center"/>
    </xf>
    <xf numFmtId="167" fontId="8" fillId="7" borderId="8" xfId="5" applyNumberFormat="1" applyFont="1" applyFill="1" applyBorder="1" applyAlignment="1">
      <alignment horizontal="center" vertical="center"/>
    </xf>
    <xf numFmtId="0" fontId="18" fillId="0" borderId="0" xfId="0" applyFont="1" applyAlignment="1">
      <alignment vertical="center"/>
    </xf>
    <xf numFmtId="169" fontId="14" fillId="0" borderId="0" xfId="5" applyNumberFormat="1" applyFont="1" applyFill="1" applyBorder="1" applyAlignment="1">
      <alignment horizontal="center" vertical="center"/>
    </xf>
    <xf numFmtId="0" fontId="89" fillId="0" borderId="0" xfId="0" applyFont="1"/>
    <xf numFmtId="0" fontId="25" fillId="0" borderId="0" xfId="0" applyFont="1"/>
    <xf numFmtId="0" fontId="25" fillId="0" borderId="1" xfId="0" applyFont="1" applyBorder="1"/>
    <xf numFmtId="0" fontId="25" fillId="0" borderId="2" xfId="0" applyFont="1" applyBorder="1"/>
    <xf numFmtId="0" fontId="25" fillId="0" borderId="3" xfId="0" applyFont="1" applyBorder="1"/>
    <xf numFmtId="0" fontId="25" fillId="0" borderId="4" xfId="0" applyFont="1" applyBorder="1"/>
    <xf numFmtId="0" fontId="25" fillId="2" borderId="3" xfId="0" applyFont="1" applyFill="1" applyBorder="1"/>
    <xf numFmtId="0" fontId="25" fillId="2" borderId="4" xfId="0" applyFont="1" applyFill="1" applyBorder="1"/>
    <xf numFmtId="0" fontId="25" fillId="2" borderId="5" xfId="0" applyFont="1" applyFill="1" applyBorder="1"/>
    <xf numFmtId="0" fontId="25" fillId="2" borderId="6" xfId="0" applyFont="1" applyFill="1" applyBorder="1"/>
    <xf numFmtId="0" fontId="90" fillId="0" borderId="0" xfId="0" applyFont="1"/>
    <xf numFmtId="0" fontId="91" fillId="0" borderId="0" xfId="0" applyFont="1"/>
    <xf numFmtId="0" fontId="92" fillId="0" borderId="0" xfId="3" applyFont="1"/>
    <xf numFmtId="0" fontId="93" fillId="0" borderId="0" xfId="0" applyFont="1"/>
    <xf numFmtId="14" fontId="93" fillId="0" borderId="0" xfId="0" applyNumberFormat="1" applyFont="1" applyAlignment="1">
      <alignment horizontal="left"/>
    </xf>
    <xf numFmtId="0" fontId="92" fillId="0" borderId="0" xfId="3" applyFont="1" applyFill="1"/>
    <xf numFmtId="0" fontId="70" fillId="0" borderId="0" xfId="0" applyFont="1"/>
    <xf numFmtId="165" fontId="72" fillId="0" borderId="29" xfId="5" applyNumberFormat="1" applyFont="1" applyFill="1" applyBorder="1" applyAlignment="1">
      <alignment horizontal="right" vertical="center"/>
    </xf>
    <xf numFmtId="167" fontId="72" fillId="0" borderId="29" xfId="5" applyNumberFormat="1" applyFont="1" applyFill="1" applyBorder="1" applyAlignment="1">
      <alignment horizontal="right" vertical="center"/>
    </xf>
    <xf numFmtId="193" fontId="72" fillId="0" borderId="29" xfId="5" applyNumberFormat="1" applyFont="1" applyFill="1" applyBorder="1" applyAlignment="1">
      <alignment horizontal="right" vertical="center"/>
    </xf>
    <xf numFmtId="0" fontId="59" fillId="21" borderId="28" xfId="4" applyFont="1" applyFill="1" applyBorder="1"/>
    <xf numFmtId="0" fontId="59" fillId="21" borderId="29" xfId="4" applyFont="1" applyFill="1" applyBorder="1"/>
    <xf numFmtId="165" fontId="59" fillId="21" borderId="29" xfId="5" applyNumberFormat="1" applyFont="1" applyFill="1" applyBorder="1" applyAlignment="1">
      <alignment horizontal="right" vertical="center"/>
    </xf>
    <xf numFmtId="167" fontId="59" fillId="21" borderId="29" xfId="5" applyNumberFormat="1" applyFont="1" applyFill="1" applyBorder="1" applyAlignment="1">
      <alignment horizontal="right" vertical="center"/>
    </xf>
    <xf numFmtId="0" fontId="48" fillId="0" borderId="0" xfId="4" applyFont="1" applyAlignment="1">
      <alignment horizontal="left" indent="1"/>
    </xf>
    <xf numFmtId="0" fontId="48" fillId="0" borderId="0" xfId="9" applyFont="1" applyAlignment="1">
      <alignment horizontal="left" indent="1"/>
    </xf>
    <xf numFmtId="183" fontId="69" fillId="0" borderId="0" xfId="5" applyNumberFormat="1" applyFont="1" applyFill="1" applyBorder="1" applyAlignment="1">
      <alignment horizontal="left" vertical="center" indent="1"/>
    </xf>
    <xf numFmtId="183" fontId="69" fillId="29" borderId="0" xfId="5" applyNumberFormat="1" applyFont="1" applyFill="1" applyBorder="1" applyAlignment="1">
      <alignment horizontal="left" vertical="center" indent="1"/>
    </xf>
    <xf numFmtId="167" fontId="69" fillId="18" borderId="0" xfId="5" applyNumberFormat="1" applyFont="1" applyFill="1" applyBorder="1" applyAlignment="1">
      <alignment horizontal="left" vertical="center" indent="1"/>
    </xf>
    <xf numFmtId="0" fontId="22" fillId="0" borderId="0" xfId="9" applyAlignment="1">
      <alignment horizontal="left" indent="1"/>
    </xf>
    <xf numFmtId="194" fontId="10" fillId="0" borderId="0" xfId="4" applyNumberFormat="1" applyFont="1" applyAlignment="1">
      <alignment horizontal="left" indent="1"/>
    </xf>
    <xf numFmtId="183" fontId="69" fillId="0" borderId="0" xfId="5" applyNumberFormat="1" applyFont="1" applyFill="1" applyBorder="1" applyAlignment="1">
      <alignment horizontal="right" vertical="center" indent="1"/>
    </xf>
    <xf numFmtId="167" fontId="69" fillId="18" borderId="0" xfId="5" applyNumberFormat="1" applyFont="1" applyFill="1" applyBorder="1" applyAlignment="1">
      <alignment horizontal="right" vertical="center" indent="1"/>
    </xf>
    <xf numFmtId="183" fontId="69" fillId="0" borderId="0" xfId="5" applyNumberFormat="1" applyFont="1" applyFill="1" applyBorder="1" applyAlignment="1">
      <alignment horizontal="right" vertical="center" indent="2"/>
    </xf>
    <xf numFmtId="183" fontId="69" fillId="29" borderId="0" xfId="5" applyNumberFormat="1" applyFont="1" applyFill="1" applyBorder="1" applyAlignment="1">
      <alignment horizontal="right" vertical="center" indent="2"/>
    </xf>
    <xf numFmtId="167" fontId="69" fillId="18" borderId="0" xfId="5" applyNumberFormat="1" applyFont="1" applyFill="1" applyBorder="1" applyAlignment="1">
      <alignment horizontal="right" vertical="center" indent="2"/>
    </xf>
    <xf numFmtId="165" fontId="69" fillId="29" borderId="0" xfId="5" applyNumberFormat="1" applyFont="1" applyFill="1" applyBorder="1" applyAlignment="1">
      <alignment horizontal="right" vertical="center"/>
    </xf>
    <xf numFmtId="183" fontId="72" fillId="0" borderId="35" xfId="5" applyNumberFormat="1" applyFont="1" applyFill="1" applyBorder="1" applyAlignment="1">
      <alignment horizontal="right" vertical="center"/>
    </xf>
    <xf numFmtId="183" fontId="69" fillId="29" borderId="35" xfId="5" applyNumberFormat="1" applyFont="1" applyFill="1" applyBorder="1" applyAlignment="1">
      <alignment horizontal="right" vertical="center"/>
    </xf>
    <xf numFmtId="0" fontId="76" fillId="0" borderId="0" xfId="9" applyFont="1" applyAlignment="1">
      <alignment horizontal="right"/>
    </xf>
    <xf numFmtId="165" fontId="74" fillId="0" borderId="35" xfId="5" applyNumberFormat="1" applyFont="1" applyFill="1" applyBorder="1" applyAlignment="1">
      <alignment horizontal="right" vertical="center"/>
    </xf>
    <xf numFmtId="167" fontId="72" fillId="0" borderId="35" xfId="5" applyNumberFormat="1" applyFont="1" applyFill="1" applyBorder="1" applyAlignment="1">
      <alignment horizontal="right" vertical="center"/>
    </xf>
    <xf numFmtId="183" fontId="75" fillId="16" borderId="35" xfId="5" applyNumberFormat="1" applyFont="1" applyFill="1" applyBorder="1" applyAlignment="1">
      <alignment horizontal="right" vertical="center"/>
    </xf>
    <xf numFmtId="183" fontId="69" fillId="0" borderId="0" xfId="5" applyNumberFormat="1" applyFont="1" applyFill="1" applyBorder="1" applyAlignment="1">
      <alignment horizontal="right" vertical="center"/>
    </xf>
    <xf numFmtId="183" fontId="71" fillId="16" borderId="0" xfId="5" applyNumberFormat="1" applyFont="1" applyFill="1" applyBorder="1" applyAlignment="1">
      <alignment horizontal="right" vertical="center"/>
    </xf>
    <xf numFmtId="0" fontId="48" fillId="0" borderId="0" xfId="9" applyFont="1" applyAlignment="1">
      <alignment horizontal="right" indent="1"/>
    </xf>
    <xf numFmtId="165" fontId="69" fillId="0" borderId="0" xfId="5" applyNumberFormat="1" applyFont="1" applyFill="1" applyBorder="1" applyAlignment="1">
      <alignment horizontal="right" vertical="center" indent="1"/>
    </xf>
    <xf numFmtId="165" fontId="70" fillId="0" borderId="0" xfId="5" applyNumberFormat="1" applyFont="1" applyFill="1" applyBorder="1" applyAlignment="1">
      <alignment horizontal="right" vertical="center" indent="1"/>
    </xf>
    <xf numFmtId="167" fontId="69" fillId="0" borderId="0" xfId="5" applyNumberFormat="1" applyFont="1" applyFill="1" applyBorder="1" applyAlignment="1">
      <alignment horizontal="right" vertical="center" indent="1"/>
    </xf>
    <xf numFmtId="183" fontId="71" fillId="16" borderId="0" xfId="5" applyNumberFormat="1" applyFont="1" applyFill="1" applyBorder="1" applyAlignment="1">
      <alignment horizontal="right" vertical="center" indent="1"/>
    </xf>
    <xf numFmtId="183" fontId="72" fillId="0" borderId="0" xfId="5" applyNumberFormat="1" applyFont="1" applyFill="1" applyBorder="1" applyAlignment="1">
      <alignment horizontal="right" vertical="center"/>
    </xf>
    <xf numFmtId="165" fontId="74" fillId="0" borderId="0" xfId="5" applyNumberFormat="1" applyFont="1" applyFill="1" applyBorder="1" applyAlignment="1">
      <alignment horizontal="right" vertical="center"/>
    </xf>
    <xf numFmtId="183" fontId="75" fillId="16" borderId="0" xfId="5" applyNumberFormat="1" applyFont="1" applyFill="1" applyBorder="1" applyAlignment="1">
      <alignment horizontal="right" vertical="center"/>
    </xf>
    <xf numFmtId="0" fontId="48" fillId="0" borderId="0" xfId="4" applyFont="1" applyAlignment="1">
      <alignment horizontal="right"/>
    </xf>
    <xf numFmtId="179" fontId="69" fillId="16" borderId="22" xfId="5" applyNumberFormat="1" applyFont="1" applyFill="1" applyBorder="1" applyAlignment="1">
      <alignment horizontal="right" vertical="center"/>
    </xf>
    <xf numFmtId="179" fontId="55" fillId="0" borderId="22" xfId="5" applyNumberFormat="1" applyFont="1" applyFill="1" applyBorder="1" applyAlignment="1">
      <alignment horizontal="right" vertical="center"/>
    </xf>
    <xf numFmtId="0" fontId="69" fillId="0" borderId="22" xfId="5" applyNumberFormat="1" applyFont="1" applyFill="1" applyBorder="1" applyAlignment="1">
      <alignment horizontal="right" vertical="center"/>
    </xf>
    <xf numFmtId="179" fontId="71" fillId="0" borderId="22" xfId="5" applyNumberFormat="1" applyFont="1" applyFill="1" applyBorder="1" applyAlignment="1">
      <alignment horizontal="right" vertical="center"/>
    </xf>
    <xf numFmtId="165" fontId="70" fillId="6" borderId="30" xfId="5" applyNumberFormat="1" applyFont="1" applyFill="1" applyBorder="1" applyAlignment="1">
      <alignment horizontal="right" vertical="center"/>
    </xf>
    <xf numFmtId="179" fontId="71" fillId="6" borderId="22" xfId="5" applyNumberFormat="1" applyFont="1" applyFill="1" applyBorder="1" applyAlignment="1">
      <alignment horizontal="right" vertical="center"/>
    </xf>
    <xf numFmtId="165" fontId="55" fillId="0" borderId="19" xfId="5" applyNumberFormat="1" applyFont="1" applyFill="1" applyBorder="1" applyAlignment="1">
      <alignment horizontal="right" vertical="center"/>
    </xf>
    <xf numFmtId="172" fontId="69" fillId="18" borderId="22" xfId="12" applyNumberFormat="1" applyFont="1" applyFill="1" applyBorder="1" applyAlignment="1">
      <alignment horizontal="right" vertical="center"/>
    </xf>
    <xf numFmtId="0" fontId="69" fillId="0" borderId="0" xfId="4" applyFont="1" applyAlignment="1">
      <alignment horizontal="right"/>
    </xf>
    <xf numFmtId="179" fontId="55" fillId="0" borderId="0" xfId="5" applyNumberFormat="1" applyFont="1" applyFill="1" applyBorder="1" applyAlignment="1">
      <alignment horizontal="right" vertical="center"/>
    </xf>
    <xf numFmtId="189" fontId="71" fillId="0" borderId="22" xfId="12" applyNumberFormat="1" applyFont="1" applyFill="1" applyBorder="1" applyAlignment="1">
      <alignment horizontal="right" vertical="center"/>
    </xf>
    <xf numFmtId="179" fontId="69" fillId="18" borderId="0" xfId="5" applyNumberFormat="1" applyFont="1" applyFill="1" applyBorder="1" applyAlignment="1">
      <alignment horizontal="right" vertical="center"/>
    </xf>
    <xf numFmtId="179" fontId="71" fillId="0" borderId="0" xfId="5" applyNumberFormat="1" applyFont="1" applyFill="1" applyBorder="1" applyAlignment="1">
      <alignment horizontal="right" vertical="center"/>
    </xf>
    <xf numFmtId="165" fontId="70" fillId="6" borderId="36" xfId="5" applyNumberFormat="1" applyFont="1" applyFill="1" applyBorder="1" applyAlignment="1">
      <alignment horizontal="right" vertical="center"/>
    </xf>
    <xf numFmtId="173" fontId="94" fillId="0" borderId="0" xfId="0" applyNumberFormat="1" applyFont="1" applyAlignment="1">
      <alignment horizontal="left"/>
    </xf>
    <xf numFmtId="0" fontId="94" fillId="0" borderId="0" xfId="0" applyFont="1" applyAlignment="1">
      <alignment horizontal="left"/>
    </xf>
    <xf numFmtId="0" fontId="94" fillId="0" borderId="0" xfId="0" applyFont="1"/>
    <xf numFmtId="0" fontId="94" fillId="0" borderId="0" xfId="0" applyFont="1" applyAlignment="1">
      <alignment horizontal="right"/>
    </xf>
    <xf numFmtId="0" fontId="95" fillId="0" borderId="0" xfId="0" applyFont="1"/>
    <xf numFmtId="0" fontId="96" fillId="0" borderId="0" xfId="0" applyFont="1"/>
    <xf numFmtId="0" fontId="97" fillId="0" borderId="0" xfId="0" applyFont="1"/>
    <xf numFmtId="173" fontId="98" fillId="0" borderId="0" xfId="0" applyNumberFormat="1" applyFont="1" applyAlignment="1">
      <alignment horizontal="left"/>
    </xf>
    <xf numFmtId="0" fontId="98" fillId="0" borderId="0" xfId="0" applyFont="1" applyAlignment="1">
      <alignment horizontal="left"/>
    </xf>
    <xf numFmtId="0" fontId="98" fillId="0" borderId="0" xfId="0" applyFont="1"/>
    <xf numFmtId="14" fontId="97" fillId="0" borderId="0" xfId="0" applyNumberFormat="1" applyFont="1"/>
    <xf numFmtId="167" fontId="20" fillId="0" borderId="21" xfId="5" applyNumberFormat="1" applyFont="1" applyFill="1" applyBorder="1" applyAlignment="1">
      <alignment horizontal="center" vertical="center"/>
    </xf>
    <xf numFmtId="4" fontId="8" fillId="17" borderId="0" xfId="0" applyNumberFormat="1" applyFont="1" applyFill="1" applyAlignment="1">
      <alignment horizontal="left" vertical="center"/>
    </xf>
    <xf numFmtId="4" fontId="14" fillId="17" borderId="0" xfId="0" applyNumberFormat="1" applyFont="1" applyFill="1" applyAlignment="1">
      <alignment horizontal="left" vertical="center" wrapText="1"/>
    </xf>
    <xf numFmtId="167" fontId="69" fillId="16" borderId="26" xfId="5" applyNumberFormat="1" applyFont="1" applyFill="1" applyBorder="1" applyAlignment="1">
      <alignment horizontal="right"/>
    </xf>
    <xf numFmtId="167" fontId="69" fillId="16" borderId="17" xfId="5" applyNumberFormat="1" applyFont="1" applyFill="1" applyBorder="1" applyAlignment="1">
      <alignment horizontal="right"/>
    </xf>
    <xf numFmtId="0" fontId="7" fillId="0" borderId="0" xfId="4" applyFont="1" applyFill="1"/>
    <xf numFmtId="0" fontId="5" fillId="0" borderId="0" xfId="4" applyFont="1" applyFill="1"/>
    <xf numFmtId="0" fontId="20" fillId="0" borderId="15" xfId="0" applyFont="1" applyFill="1" applyBorder="1" applyAlignment="1">
      <alignment vertical="center"/>
    </xf>
    <xf numFmtId="0" fontId="8" fillId="0" borderId="0" xfId="4" applyFont="1" applyFill="1"/>
    <xf numFmtId="170" fontId="20" fillId="0" borderId="14" xfId="5" applyNumberFormat="1" applyFont="1" applyFill="1" applyBorder="1" applyAlignment="1">
      <alignment horizontal="center" vertical="center"/>
    </xf>
    <xf numFmtId="0" fontId="0" fillId="0" borderId="0" xfId="0" applyFill="1" applyAlignment="1">
      <alignment horizontal="center"/>
    </xf>
    <xf numFmtId="0" fontId="0" fillId="0" borderId="0" xfId="0" applyFill="1"/>
    <xf numFmtId="0" fontId="30" fillId="0" borderId="0" xfId="7" applyFont="1" applyFill="1"/>
    <xf numFmtId="0" fontId="14" fillId="0" borderId="0" xfId="4" applyFont="1" applyFill="1"/>
    <xf numFmtId="0" fontId="15" fillId="0" borderId="0" xfId="7" applyFont="1" applyFill="1"/>
    <xf numFmtId="0" fontId="18" fillId="0" borderId="15" xfId="0" applyFont="1" applyFill="1" applyBorder="1" applyAlignment="1">
      <alignment vertical="center"/>
    </xf>
    <xf numFmtId="170" fontId="18" fillId="0" borderId="14" xfId="5" applyNumberFormat="1" applyFont="1" applyFill="1" applyBorder="1" applyAlignment="1">
      <alignment horizontal="center" vertical="center"/>
    </xf>
    <xf numFmtId="0" fontId="18" fillId="0" borderId="0" xfId="4" applyFont="1" applyFill="1"/>
    <xf numFmtId="165" fontId="18" fillId="0" borderId="8" xfId="5" applyNumberFormat="1" applyFont="1" applyFill="1" applyBorder="1" applyAlignment="1">
      <alignment horizontal="right" vertical="center"/>
    </xf>
    <xf numFmtId="167" fontId="18" fillId="0" borderId="8" xfId="5" applyNumberFormat="1" applyFont="1" applyFill="1" applyBorder="1" applyAlignment="1">
      <alignment horizontal="right" vertical="center"/>
    </xf>
    <xf numFmtId="165" fontId="18" fillId="8" borderId="9" xfId="5" applyNumberFormat="1" applyFont="1" applyFill="1" applyBorder="1" applyAlignment="1">
      <alignment horizontal="right" vertical="center"/>
    </xf>
    <xf numFmtId="167" fontId="18" fillId="8" borderId="9" xfId="5" applyNumberFormat="1" applyFont="1" applyFill="1" applyBorder="1" applyAlignment="1">
      <alignment horizontal="right" vertical="center"/>
    </xf>
    <xf numFmtId="165" fontId="20" fillId="0" borderId="9" xfId="5" applyNumberFormat="1" applyFont="1" applyFill="1" applyBorder="1" applyAlignment="1">
      <alignment horizontal="right" vertical="center"/>
    </xf>
    <xf numFmtId="167" fontId="20" fillId="0" borderId="9" xfId="5" applyNumberFormat="1" applyFont="1" applyFill="1" applyBorder="1" applyAlignment="1">
      <alignment horizontal="right" vertical="center"/>
    </xf>
    <xf numFmtId="165" fontId="20" fillId="8" borderId="9" xfId="5" applyNumberFormat="1" applyFont="1" applyFill="1" applyBorder="1" applyAlignment="1">
      <alignment horizontal="right" vertical="center"/>
    </xf>
    <xf numFmtId="167" fontId="20" fillId="8" borderId="9" xfId="5" applyNumberFormat="1" applyFont="1" applyFill="1" applyBorder="1" applyAlignment="1">
      <alignment horizontal="right" vertical="center"/>
    </xf>
    <xf numFmtId="165" fontId="8" fillId="7" borderId="9" xfId="5" applyNumberFormat="1" applyFont="1" applyFill="1" applyBorder="1" applyAlignment="1">
      <alignment horizontal="right" vertical="center"/>
    </xf>
    <xf numFmtId="167" fontId="8" fillId="7" borderId="9" xfId="5" applyNumberFormat="1" applyFont="1" applyFill="1" applyBorder="1" applyAlignment="1">
      <alignment horizontal="right" vertical="center"/>
    </xf>
    <xf numFmtId="165" fontId="8" fillId="3" borderId="9" xfId="5" applyNumberFormat="1" applyFont="1" applyFill="1" applyBorder="1" applyAlignment="1">
      <alignment horizontal="right" vertical="center"/>
    </xf>
    <xf numFmtId="167" fontId="8" fillId="3" borderId="9" xfId="5" applyNumberFormat="1" applyFont="1" applyFill="1" applyBorder="1" applyAlignment="1">
      <alignment horizontal="right" vertical="center"/>
    </xf>
    <xf numFmtId="165" fontId="11" fillId="3" borderId="9" xfId="5" applyNumberFormat="1" applyFont="1" applyFill="1" applyBorder="1" applyAlignment="1">
      <alignment horizontal="right" vertical="center"/>
    </xf>
    <xf numFmtId="167" fontId="11" fillId="3" borderId="9" xfId="5" applyNumberFormat="1" applyFont="1" applyFill="1" applyBorder="1" applyAlignment="1">
      <alignment horizontal="right" vertical="center"/>
    </xf>
    <xf numFmtId="179" fontId="19" fillId="0" borderId="22" xfId="5" applyNumberFormat="1" applyFont="1" applyFill="1" applyBorder="1" applyAlignment="1">
      <alignment horizontal="right" vertical="center"/>
    </xf>
    <xf numFmtId="180" fontId="19" fillId="0" borderId="9" xfId="5" applyNumberFormat="1" applyFont="1" applyFill="1" applyBorder="1" applyAlignment="1">
      <alignment horizontal="right" vertical="center"/>
    </xf>
    <xf numFmtId="179" fontId="19" fillId="8" borderId="22" xfId="5" applyNumberFormat="1" applyFont="1" applyFill="1" applyBorder="1" applyAlignment="1">
      <alignment horizontal="right" vertical="center"/>
    </xf>
    <xf numFmtId="180" fontId="19" fillId="8" borderId="9" xfId="5" applyNumberFormat="1" applyFont="1" applyFill="1" applyBorder="1" applyAlignment="1">
      <alignment horizontal="right" vertical="center"/>
    </xf>
    <xf numFmtId="165" fontId="18" fillId="0" borderId="8" xfId="5" applyNumberFormat="1" applyFont="1" applyFill="1" applyBorder="1" applyAlignment="1">
      <alignment horizontal="right" vertical="center" indent="1"/>
    </xf>
    <xf numFmtId="167" fontId="18" fillId="0" borderId="8" xfId="5" applyNumberFormat="1" applyFont="1" applyFill="1" applyBorder="1" applyAlignment="1">
      <alignment horizontal="right" vertical="center" indent="1"/>
    </xf>
    <xf numFmtId="165" fontId="18" fillId="8" borderId="9" xfId="5" applyNumberFormat="1" applyFont="1" applyFill="1" applyBorder="1" applyAlignment="1">
      <alignment horizontal="right" vertical="center" indent="1"/>
    </xf>
    <xf numFmtId="167" fontId="18" fillId="8" borderId="9" xfId="5" applyNumberFormat="1" applyFont="1" applyFill="1" applyBorder="1" applyAlignment="1">
      <alignment horizontal="right" vertical="center" indent="1"/>
    </xf>
    <xf numFmtId="165" fontId="11" fillId="3" borderId="10" xfId="5" applyNumberFormat="1" applyFont="1" applyFill="1" applyBorder="1" applyAlignment="1">
      <alignment horizontal="right" vertical="center"/>
    </xf>
    <xf numFmtId="167" fontId="11" fillId="3" borderId="10" xfId="5" applyNumberFormat="1" applyFont="1" applyFill="1" applyBorder="1" applyAlignment="1">
      <alignment horizontal="right" vertical="center"/>
    </xf>
    <xf numFmtId="165" fontId="13" fillId="11" borderId="0" xfId="5" applyNumberFormat="1" applyFont="1" applyFill="1" applyBorder="1" applyAlignment="1">
      <alignment horizontal="right"/>
    </xf>
    <xf numFmtId="181" fontId="13" fillId="7" borderId="8" xfId="5" applyNumberFormat="1" applyFont="1" applyFill="1" applyBorder="1" applyAlignment="1">
      <alignment horizontal="right" vertical="center"/>
    </xf>
    <xf numFmtId="181" fontId="18" fillId="0" borderId="9" xfId="5" applyNumberFormat="1" applyFont="1" applyFill="1" applyBorder="1" applyAlignment="1">
      <alignment horizontal="right" vertical="center"/>
    </xf>
    <xf numFmtId="181" fontId="8" fillId="21" borderId="9" xfId="5" applyNumberFormat="1" applyFont="1" applyFill="1" applyBorder="1" applyAlignment="1">
      <alignment horizontal="right" vertical="center"/>
    </xf>
    <xf numFmtId="167" fontId="8" fillId="21" borderId="9" xfId="5" applyNumberFormat="1" applyFont="1" applyFill="1" applyBorder="1" applyAlignment="1">
      <alignment horizontal="right" vertical="center"/>
    </xf>
    <xf numFmtId="167" fontId="0" fillId="0" borderId="0" xfId="0" applyNumberFormat="1" applyAlignment="1">
      <alignment horizontal="right"/>
    </xf>
    <xf numFmtId="181" fontId="14" fillId="20" borderId="9" xfId="5" applyNumberFormat="1" applyFont="1" applyFill="1" applyBorder="1" applyAlignment="1">
      <alignment horizontal="right" vertical="center"/>
    </xf>
    <xf numFmtId="167" fontId="14" fillId="20" borderId="9" xfId="5" applyNumberFormat="1" applyFont="1" applyFill="1" applyBorder="1" applyAlignment="1">
      <alignment horizontal="right" vertical="center"/>
    </xf>
    <xf numFmtId="181" fontId="8" fillId="7" borderId="10" xfId="5" applyNumberFormat="1" applyFont="1" applyFill="1" applyBorder="1" applyAlignment="1">
      <alignment horizontal="right" vertical="center"/>
    </xf>
    <xf numFmtId="165" fontId="18" fillId="8" borderId="8" xfId="5" applyNumberFormat="1" applyFont="1" applyFill="1" applyBorder="1" applyAlignment="1">
      <alignment horizontal="right" vertical="center" indent="1"/>
    </xf>
    <xf numFmtId="181" fontId="18" fillId="18" borderId="9" xfId="5" applyNumberFormat="1" applyFont="1" applyFill="1" applyBorder="1" applyAlignment="1">
      <alignment horizontal="right" vertical="center"/>
    </xf>
    <xf numFmtId="165" fontId="18" fillId="18" borderId="8" xfId="5" applyNumberFormat="1" applyFont="1" applyFill="1" applyBorder="1" applyAlignment="1">
      <alignment horizontal="right" vertical="center"/>
    </xf>
    <xf numFmtId="165" fontId="8" fillId="7" borderId="8" xfId="5" applyNumberFormat="1" applyFont="1" applyFill="1" applyBorder="1" applyAlignment="1">
      <alignment horizontal="right" vertical="center"/>
    </xf>
    <xf numFmtId="165" fontId="18" fillId="8" borderId="0" xfId="5" applyNumberFormat="1" applyFont="1" applyFill="1" applyBorder="1" applyAlignment="1">
      <alignment horizontal="right" vertical="center"/>
    </xf>
    <xf numFmtId="165" fontId="8" fillId="21" borderId="9" xfId="5" applyNumberFormat="1" applyFont="1" applyFill="1" applyBorder="1" applyAlignment="1">
      <alignment horizontal="right" vertical="center"/>
    </xf>
    <xf numFmtId="165" fontId="8" fillId="21" borderId="0" xfId="5" applyNumberFormat="1" applyFont="1" applyFill="1" applyBorder="1" applyAlignment="1">
      <alignment horizontal="right" vertical="center"/>
    </xf>
    <xf numFmtId="165" fontId="8" fillId="20" borderId="9" xfId="5" applyNumberFormat="1" applyFont="1" applyFill="1" applyBorder="1" applyAlignment="1">
      <alignment horizontal="right" vertical="center"/>
    </xf>
    <xf numFmtId="167" fontId="8" fillId="20" borderId="9" xfId="5" applyNumberFormat="1" applyFont="1" applyFill="1" applyBorder="1" applyAlignment="1">
      <alignment horizontal="right" vertical="center"/>
    </xf>
    <xf numFmtId="165" fontId="8" fillId="20" borderId="0" xfId="5" applyNumberFormat="1" applyFont="1" applyFill="1" applyBorder="1" applyAlignment="1">
      <alignment horizontal="right" vertical="center"/>
    </xf>
    <xf numFmtId="0" fontId="70" fillId="0" borderId="0" xfId="0" applyFont="1" applyAlignment="1"/>
    <xf numFmtId="189" fontId="71" fillId="0" borderId="30" xfId="5" applyNumberFormat="1" applyFont="1" applyFill="1" applyBorder="1" applyAlignment="1">
      <alignment horizontal="right" vertical="center"/>
    </xf>
    <xf numFmtId="189" fontId="71" fillId="6" borderId="29" xfId="5" applyNumberFormat="1" applyFont="1" applyFill="1" applyBorder="1" applyAlignment="1">
      <alignment horizontal="right" vertical="center"/>
    </xf>
    <xf numFmtId="167" fontId="20" fillId="0" borderId="8" xfId="5" applyNumberFormat="1" applyFont="1" applyFill="1" applyBorder="1" applyAlignment="1">
      <alignment horizontal="right" vertical="center"/>
    </xf>
    <xf numFmtId="165" fontId="69" fillId="2" borderId="0" xfId="5" applyNumberFormat="1" applyFont="1" applyFill="1" applyBorder="1" applyAlignment="1">
      <alignment horizontal="left" vertical="center"/>
    </xf>
    <xf numFmtId="0" fontId="48" fillId="0" borderId="0" xfId="4" applyFont="1" applyBorder="1"/>
    <xf numFmtId="0" fontId="48" fillId="0" borderId="0" xfId="4" applyFont="1" applyBorder="1" applyAlignment="1">
      <alignment horizontal="center"/>
    </xf>
    <xf numFmtId="0" fontId="48" fillId="2" borderId="0" xfId="4" applyFont="1" applyFill="1" applyBorder="1"/>
    <xf numFmtId="14" fontId="93" fillId="0" borderId="0" xfId="0" applyNumberFormat="1" applyFont="1" applyAlignment="1">
      <alignment horizontal="left" vertical="center"/>
    </xf>
    <xf numFmtId="0" fontId="93" fillId="0" borderId="0" xfId="0" applyFont="1" applyAlignment="1">
      <alignment horizontal="right" vertical="center"/>
    </xf>
    <xf numFmtId="0" fontId="10" fillId="0" borderId="0" xfId="9" applyFont="1" applyFill="1"/>
    <xf numFmtId="0" fontId="48" fillId="0" borderId="0" xfId="4" applyFont="1" applyBorder="1" applyAlignment="1">
      <alignment horizontal="left" indent="1"/>
    </xf>
    <xf numFmtId="0" fontId="48" fillId="2" borderId="0" xfId="4" applyFont="1" applyFill="1" applyBorder="1" applyAlignment="1">
      <alignment horizontal="left" indent="1"/>
    </xf>
    <xf numFmtId="0" fontId="48" fillId="2" borderId="28" xfId="4" applyFont="1" applyFill="1" applyBorder="1" applyAlignment="1">
      <alignment horizontal="left" indent="1"/>
    </xf>
    <xf numFmtId="0" fontId="4" fillId="0" borderId="0" xfId="3"/>
    <xf numFmtId="0" fontId="41" fillId="0" borderId="0" xfId="0" applyFont="1" applyAlignment="1">
      <alignment horizontal="left" wrapText="1"/>
    </xf>
    <xf numFmtId="0" fontId="20" fillId="19" borderId="0" xfId="0" applyFont="1" applyFill="1" applyAlignment="1">
      <alignment horizontal="center"/>
    </xf>
  </cellXfs>
  <cellStyles count="14">
    <cellStyle name="_x000a_386grabber=M" xfId="7" xr:uid="{08236BE0-F008-44E0-B22F-236092CE9433}"/>
    <cellStyle name="_x000a_386grabber=M 2 2" xfId="13" xr:uid="{19C31281-4A65-4537-97D0-C1B830D30EBE}"/>
    <cellStyle name="_CurrencySpace" xfId="5" xr:uid="{6EE7140C-A482-4B64-B999-56D7EFAC14E9}"/>
    <cellStyle name="_TableRowHead" xfId="11" xr:uid="{D83B8088-BC1E-4B1E-A10A-D9E57C128928}"/>
    <cellStyle name="Change" xfId="1" xr:uid="{04959CD1-AA42-40FF-A10B-CE1E6FB14AF0}"/>
    <cellStyle name="Hyperlink" xfId="3" builtinId="8"/>
    <cellStyle name="Normal" xfId="0" builtinId="0" customBuiltin="1"/>
    <cellStyle name="Normal 2" xfId="9" xr:uid="{CA66EFC1-FDD3-4625-83AA-577B59D48AB7}"/>
    <cellStyle name="Normal 2 2 2 3" xfId="8" xr:uid="{179AC6B8-797A-4668-ADAF-C0F356AD5F4C}"/>
    <cellStyle name="Normal 3" xfId="4" xr:uid="{86E89564-CBD2-48F5-B98F-286C52785C6D}"/>
    <cellStyle name="Percent" xfId="6" builtinId="5"/>
    <cellStyle name="Percent 2" xfId="12" xr:uid="{E726229A-63F6-4306-A565-CF50E03BF272}"/>
    <cellStyle name="Pourcentage 2" xfId="10" xr:uid="{C0BEAAE0-BEAE-483A-80A3-939BBD75188D}"/>
    <cellStyle name="Thousands" xfId="2" xr:uid="{1F42E58B-A068-4C3D-93C6-62C5D0C5E2E5}"/>
  </cellStyles>
  <dxfs count="15">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005483"/>
      <color rgb="FF003C64"/>
      <color rgb="FFEDEDED"/>
      <color rgb="FFD9D9D9"/>
      <color rgb="FF0070C0"/>
      <color rgb="FF0073A3"/>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1</xdr:colOff>
      <xdr:row>29</xdr:row>
      <xdr:rowOff>0</xdr:rowOff>
    </xdr:from>
    <xdr:ext cx="10496550" cy="3078480"/>
    <xdr:sp macro="" textlink="">
      <xdr:nvSpPr>
        <xdr:cNvPr id="2" name="TextBox 1">
          <a:extLst>
            <a:ext uri="{FF2B5EF4-FFF2-40B4-BE49-F238E27FC236}">
              <a16:creationId xmlns:a16="http://schemas.microsoft.com/office/drawing/2014/main" id="{DB113613-CC90-402E-933C-59714696C5D4}"/>
            </a:ext>
          </a:extLst>
        </xdr:cNvPr>
        <xdr:cNvSpPr txBox="1"/>
      </xdr:nvSpPr>
      <xdr:spPr>
        <a:xfrm>
          <a:off x="167641" y="3581400"/>
          <a:ext cx="10496550" cy="30784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400" b="1">
              <a:solidFill>
                <a:sysClr val="windowText" lastClr="000000"/>
              </a:solidFill>
              <a:latin typeface="Noto Sans Condensed" panose="020B0502040504020204" pitchFamily="34" charset="0"/>
              <a:ea typeface="Noto Sans Condensed" panose="020B0502040504020204" pitchFamily="34" charset="0"/>
              <a:cs typeface="Noto Sans Condensed" panose="020B0502040504020204" pitchFamily="34" charset="0"/>
            </a:rPr>
            <a:t>Accounting data</a:t>
          </a:r>
        </a:p>
        <a:p>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Amundi has chosen to present adjusted accounting data for certain income items (net income, general operating expenses, share of net income of associates) in order to better reflect the economic and operating profitability of the company. These adjustments are intended to neutralise the impacts identified during acquisitions:</a:t>
          </a:r>
          <a:endParaRPr lang="fr-FR"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endParaRPr>
        </a:p>
        <a:p>
          <a:pPr lvl="1"/>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amortisation of distribution contracts or customer contracts (UniCredit, Banco Sabadell, Alpha Associates as well as Bawag and Lyxor until 31/12/2024) in </a:t>
          </a:r>
          <a:r>
            <a:rPr lang="en-GB" sz="1100" b="1">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other income</a:t>
          </a:r>
          <a:endParaRPr lang="fr-FR"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endParaRPr>
        </a:p>
        <a:p>
          <a:pPr lvl="1"/>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depreciation and amortisation related to the inclusion of earn-outs (Alpha Associates) in </a:t>
          </a:r>
          <a:r>
            <a:rPr lang="en-GB" sz="1100" b="1">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financial income</a:t>
          </a:r>
          <a:endParaRPr lang="fr-FR"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endParaRPr>
        </a:p>
        <a:p>
          <a:pPr lvl="1"/>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Amortisation of technological intangible assets (AIXIGO) in </a:t>
          </a:r>
          <a:r>
            <a:rPr lang="en-GB" sz="1100" b="1">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operating expenses</a:t>
          </a:r>
          <a:endParaRPr lang="fr-FR"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endParaRPr>
        </a:p>
        <a:p>
          <a:pPr lvl="1"/>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integration costs (Victory Capital) in </a:t>
          </a:r>
          <a:r>
            <a:rPr lang="en-GB" sz="1100" b="1">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operating expenses, </a:t>
          </a:r>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and capital gain or loss on disposal (Victory Capital) in </a:t>
          </a:r>
          <a:r>
            <a:rPr lang="en-GB" sz="1100" b="1">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profit or loss on other assets</a:t>
          </a:r>
          <a:endParaRPr lang="fr-FR"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endParaRPr>
        </a:p>
        <a:p>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as well as provisioned expenses related to optimisation or restructuring plans (in</a:t>
          </a:r>
          <a:r>
            <a:rPr lang="en-GB" sz="1100" b="1">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 operating expenses</a:t>
          </a:r>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a:t>
          </a:r>
          <a:endParaRPr lang="fr-FR"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endParaRPr>
        </a:p>
        <a:p>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Finally, the adjustments applied by Victory Capital, a listed equity investment, between its reported results and its adjusted results are included identically in the Amundi Group's results, as they correspond to adjustments of the same nature as those of the Group detailed above. They are included in the </a:t>
          </a:r>
          <a:r>
            <a:rPr lang="en-GB" sz="1100" b="1">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line between companies accounted for under the equity method</a:t>
          </a:r>
          <a:endParaRPr lang="fr-FR"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endParaRPr>
        </a:p>
        <a:p>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The aggregate amounts of these items for the different periods under review are as follows:</a:t>
          </a:r>
          <a:endParaRPr lang="fr-FR"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tx1"/>
              </a:solidFill>
              <a:effectLst/>
              <a:latin typeface="Noto Sans Condensed" panose="020B0502040504020204" pitchFamily="34" charset="0"/>
              <a:ea typeface="Noto Sans Condensed" panose="020B0502040504020204" pitchFamily="34" charset="0"/>
              <a:cs typeface="Noto Sans Condensed" panose="020B0502040504020204" pitchFamily="34" charset="0"/>
            </a:rPr>
            <a:t>Q1 2025: </a:t>
          </a:r>
          <a:r>
            <a:rPr lang="en-GB" sz="1100">
              <a:solidFill>
                <a:schemeClr val="tx1"/>
              </a:solidFill>
              <a:effectLst/>
              <a:latin typeface="Noto Sans Condensed" panose="020B0502040504020204" pitchFamily="34" charset="0"/>
              <a:ea typeface="Noto Sans Condensed" panose="020B0502040504020204" pitchFamily="34" charset="0"/>
              <a:cs typeface="Noto Sans Condensed" panose="020B0502040504020204" pitchFamily="34" charset="0"/>
            </a:rPr>
            <a:t>-€</a:t>
          </a:r>
          <a:r>
            <a:rPr lang="en-US" sz="1100">
              <a:solidFill>
                <a:schemeClr val="tx1"/>
              </a:solidFill>
              <a:effectLst/>
              <a:latin typeface="Noto Sans Condensed" panose="020B0502040504020204" pitchFamily="34" charset="0"/>
              <a:ea typeface="Noto Sans Condensed" panose="020B0502040504020204" pitchFamily="34" charset="0"/>
              <a:cs typeface="Noto Sans Condensed" panose="020B0502040504020204" pitchFamily="34" charset="0"/>
            </a:rPr>
            <a:t>29m</a:t>
          </a:r>
          <a:r>
            <a:rPr lang="en-GB" sz="1100">
              <a:solidFill>
                <a:schemeClr val="tx1"/>
              </a:solidFill>
              <a:effectLst/>
              <a:latin typeface="Noto Sans Condensed" panose="020B0502040504020204" pitchFamily="34" charset="0"/>
              <a:ea typeface="Noto Sans Condensed" panose="020B0502040504020204" pitchFamily="34" charset="0"/>
              <a:cs typeface="Noto Sans Condensed" panose="020B0502040504020204" pitchFamily="34" charset="0"/>
            </a:rPr>
            <a:t> pre-tax and -€20</a:t>
          </a:r>
          <a:r>
            <a:rPr lang="en-US" sz="1100">
              <a:solidFill>
                <a:schemeClr val="tx1"/>
              </a:solidFill>
              <a:effectLst/>
              <a:latin typeface="Noto Sans Condensed" panose="020B0502040504020204" pitchFamily="34" charset="0"/>
              <a:ea typeface="Noto Sans Condensed" panose="020B0502040504020204" pitchFamily="34" charset="0"/>
              <a:cs typeface="Noto Sans Condensed" panose="020B0502040504020204" pitchFamily="34" charset="0"/>
            </a:rPr>
            <a:t>m</a:t>
          </a:r>
          <a:r>
            <a:rPr lang="en-GB" sz="1100">
              <a:solidFill>
                <a:schemeClr val="tx1"/>
              </a:solidFill>
              <a:effectLst/>
              <a:latin typeface="Noto Sans Condensed" panose="020B0502040504020204" pitchFamily="34" charset="0"/>
              <a:ea typeface="Noto Sans Condensed" panose="020B0502040504020204" pitchFamily="34" charset="0"/>
              <a:cs typeface="Noto Sans Condensed" panose="020B0502040504020204" pitchFamily="34" charset="0"/>
            </a:rPr>
            <a:t> after tax</a:t>
          </a:r>
          <a:endParaRPr lang="en-GB" sz="1100">
            <a:effectLst/>
            <a:latin typeface="Noto Sans Condensed" panose="020B0502040504020204" pitchFamily="34" charset="0"/>
            <a:ea typeface="Noto Sans Condensed" panose="020B0502040504020204" pitchFamily="34" charset="0"/>
            <a:cs typeface="Noto Sans Condensed" panose="020B0502040504020204" pitchFamily="34" charset="0"/>
          </a:endParaRPr>
        </a:p>
        <a:p>
          <a:r>
            <a:rPr lang="en-GB" sz="1100" b="1">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Q4 2025: </a:t>
          </a:r>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a:t>
          </a:r>
          <a:r>
            <a:rPr lang="en-US"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45m</a:t>
          </a:r>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 pre-tax and -€</a:t>
          </a:r>
          <a:r>
            <a:rPr lang="en-US"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30m</a:t>
          </a:r>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 after tax</a:t>
          </a:r>
          <a:endParaRPr lang="fr-FR"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endParaRPr>
        </a:p>
        <a:p>
          <a:r>
            <a:rPr lang="en-GB" sz="1100" b="1">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2025: </a:t>
          </a:r>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a:t>
          </a:r>
          <a:r>
            <a:rPr lang="en-US"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219m</a:t>
          </a:r>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 before tax and -€</a:t>
          </a:r>
          <a:r>
            <a:rPr lang="en-US"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164m</a:t>
          </a:r>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 after tax + €</a:t>
          </a:r>
          <a:r>
            <a:rPr lang="en-US"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402m</a:t>
          </a:r>
          <a:r>
            <a:rPr lang="en-GB" sz="1100">
              <a:solidFill>
                <a:sysClr val="windowText" lastClr="000000"/>
              </a:solidFill>
              <a:effectLst/>
              <a:latin typeface="Noto Sans Condensed" panose="020B0502040504020204" pitchFamily="34" charset="0"/>
              <a:ea typeface="Noto Sans Condensed" panose="020B0502040504020204" pitchFamily="34" charset="0"/>
              <a:cs typeface="Noto Sans Condensed" panose="020B0502040504020204" pitchFamily="34" charset="0"/>
            </a:rPr>
            <a:t> capital gain (without tax effect)</a:t>
          </a:r>
        </a:p>
        <a:p>
          <a:pPr eaLnBrk="1" fontAlgn="auto" latinLnBrk="0" hangingPunct="1"/>
          <a:r>
            <a:rPr lang="en-GB" sz="1100" b="1">
              <a:solidFill>
                <a:schemeClr val="tx1"/>
              </a:solidFill>
              <a:effectLst/>
              <a:latin typeface="Noto Sans Condensed" panose="020B0502040504020204" pitchFamily="34" charset="0"/>
              <a:ea typeface="Noto Sans Condensed" panose="020B0502040504020204" pitchFamily="34" charset="0"/>
              <a:cs typeface="Noto Sans Condensed" panose="020B0502040504020204" pitchFamily="34" charset="0"/>
            </a:rPr>
            <a:t>Q1 2026: </a:t>
          </a:r>
          <a:r>
            <a:rPr lang="en-GB" sz="1100">
              <a:solidFill>
                <a:schemeClr val="tx1"/>
              </a:solidFill>
              <a:effectLst/>
              <a:latin typeface="Noto Sans Condensed" panose="020B0502040504020204" pitchFamily="34" charset="0"/>
              <a:ea typeface="Noto Sans Condensed" panose="020B0502040504020204" pitchFamily="34" charset="0"/>
              <a:cs typeface="Noto Sans Condensed" panose="020B0502040504020204" pitchFamily="34" charset="0"/>
            </a:rPr>
            <a:t>-€12</a:t>
          </a:r>
          <a:r>
            <a:rPr lang="en-US" sz="1100">
              <a:solidFill>
                <a:schemeClr val="tx1"/>
              </a:solidFill>
              <a:effectLst/>
              <a:latin typeface="Noto Sans Condensed" panose="020B0502040504020204" pitchFamily="34" charset="0"/>
              <a:ea typeface="Noto Sans Condensed" panose="020B0502040504020204" pitchFamily="34" charset="0"/>
              <a:cs typeface="Noto Sans Condensed" panose="020B0502040504020204" pitchFamily="34" charset="0"/>
            </a:rPr>
            <a:t>m</a:t>
          </a:r>
          <a:r>
            <a:rPr lang="en-GB" sz="1100">
              <a:solidFill>
                <a:schemeClr val="tx1"/>
              </a:solidFill>
              <a:effectLst/>
              <a:latin typeface="Noto Sans Condensed" panose="020B0502040504020204" pitchFamily="34" charset="0"/>
              <a:ea typeface="Noto Sans Condensed" panose="020B0502040504020204" pitchFamily="34" charset="0"/>
              <a:cs typeface="Noto Sans Condensed" panose="020B0502040504020204" pitchFamily="34" charset="0"/>
            </a:rPr>
            <a:t> pre-tax and -€6</a:t>
          </a:r>
          <a:r>
            <a:rPr lang="en-US" sz="1100">
              <a:solidFill>
                <a:schemeClr val="tx1"/>
              </a:solidFill>
              <a:effectLst/>
              <a:latin typeface="Noto Sans Condensed" panose="020B0502040504020204" pitchFamily="34" charset="0"/>
              <a:ea typeface="Noto Sans Condensed" panose="020B0502040504020204" pitchFamily="34" charset="0"/>
              <a:cs typeface="Noto Sans Condensed" panose="020B0502040504020204" pitchFamily="34" charset="0"/>
            </a:rPr>
            <a:t>m</a:t>
          </a:r>
          <a:r>
            <a:rPr lang="en-GB" sz="1100">
              <a:solidFill>
                <a:schemeClr val="tx1"/>
              </a:solidFill>
              <a:effectLst/>
              <a:latin typeface="Noto Sans Condensed" panose="020B0502040504020204" pitchFamily="34" charset="0"/>
              <a:ea typeface="Noto Sans Condensed" panose="020B0502040504020204" pitchFamily="34" charset="0"/>
              <a:cs typeface="Noto Sans Condensed" panose="020B0502040504020204" pitchFamily="34" charset="0"/>
            </a:rPr>
            <a:t> after tax</a:t>
          </a:r>
          <a:endParaRPr lang="en-GB" sz="1100">
            <a:effectLst/>
            <a:latin typeface="Noto Sans Condensed" panose="020B0502040504020204" pitchFamily="34" charset="0"/>
            <a:ea typeface="Noto Sans Condensed" panose="020B0502040504020204" pitchFamily="34" charset="0"/>
            <a:cs typeface="Noto Sans Condensed" panose="020B0502040504020204" pitchFamily="34" charset="0"/>
          </a:endParaRPr>
        </a:p>
      </xdr:txBody>
    </xdr:sp>
    <xdr:clientData/>
  </xdr:oneCellAnchor>
  <xdr:oneCellAnchor>
    <xdr:from>
      <xdr:col>1</xdr:col>
      <xdr:colOff>0</xdr:colOff>
      <xdr:row>64</xdr:row>
      <xdr:rowOff>38100</xdr:rowOff>
    </xdr:from>
    <xdr:ext cx="10496550" cy="447675"/>
    <xdr:sp macro="" textlink="">
      <xdr:nvSpPr>
        <xdr:cNvPr id="3" name="TextBox 2">
          <a:extLst>
            <a:ext uri="{FF2B5EF4-FFF2-40B4-BE49-F238E27FC236}">
              <a16:creationId xmlns:a16="http://schemas.microsoft.com/office/drawing/2014/main" id="{82C766DC-4A4F-4212-A39F-969C377446A2}"/>
            </a:ext>
          </a:extLst>
        </xdr:cNvPr>
        <xdr:cNvSpPr txBox="1"/>
      </xdr:nvSpPr>
      <xdr:spPr>
        <a:xfrm>
          <a:off x="167640" y="6225540"/>
          <a:ext cx="10496550" cy="447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900" b="0" i="0" u="none" strike="noStrike" baseline="0">
              <a:solidFill>
                <a:schemeClr val="tx1"/>
              </a:solidFill>
              <a:latin typeface="Arial" panose="020B0604020202020204" pitchFamily="34" charset="0"/>
              <a:ea typeface="+mn-ea"/>
              <a:cs typeface="Arial" panose="020B0604020202020204" pitchFamily="34" charset="0"/>
            </a:rPr>
            <a:t>The figures presented in this document for Q3 2025 have been approved by Amundi's Board of Directors and have been prepared in accordance with the prudential rules in force and IFRS standards, as adopted by the European Union and applicable as of the date of this document, but remain subject to the work of the statutory auditors which is in progress.</a:t>
          </a:r>
        </a:p>
      </xdr:txBody>
    </xdr:sp>
    <xdr:clientData/>
  </xdr:oneCellAnchor>
  <xdr:twoCellAnchor editAs="oneCell">
    <xdr:from>
      <xdr:col>0</xdr:col>
      <xdr:colOff>30480</xdr:colOff>
      <xdr:row>0</xdr:row>
      <xdr:rowOff>0</xdr:rowOff>
    </xdr:from>
    <xdr:to>
      <xdr:col>3</xdr:col>
      <xdr:colOff>7620</xdr:colOff>
      <xdr:row>18</xdr:row>
      <xdr:rowOff>99061</xdr:rowOff>
    </xdr:to>
    <xdr:pic>
      <xdr:nvPicPr>
        <xdr:cNvPr id="5" name="Picture 4">
          <a:extLst>
            <a:ext uri="{FF2B5EF4-FFF2-40B4-BE49-F238E27FC236}">
              <a16:creationId xmlns:a16="http://schemas.microsoft.com/office/drawing/2014/main" id="{12FC815F-341A-4864-AB00-F3164A4AE9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 y="0"/>
          <a:ext cx="2179320" cy="1371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125972</xdr:colOff>
      <xdr:row>3</xdr:row>
      <xdr:rowOff>216886</xdr:rowOff>
    </xdr:from>
    <xdr:ext cx="3763772" cy="1470146"/>
    <xdr:sp macro="" textlink="">
      <xdr:nvSpPr>
        <xdr:cNvPr id="4" name="TextBox 3">
          <a:extLst>
            <a:ext uri="{FF2B5EF4-FFF2-40B4-BE49-F238E27FC236}">
              <a16:creationId xmlns:a16="http://schemas.microsoft.com/office/drawing/2014/main" id="{CCD75D15-5646-5F7B-CB86-E430BF455930}"/>
            </a:ext>
          </a:extLst>
        </xdr:cNvPr>
        <xdr:cNvSpPr txBox="1"/>
      </xdr:nvSpPr>
      <xdr:spPr>
        <a:xfrm>
          <a:off x="125972" y="360819"/>
          <a:ext cx="3763772" cy="147014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GB" sz="1100" i="1">
              <a:solidFill>
                <a:schemeClr val="tx1"/>
              </a:solidFill>
              <a:effectLst/>
              <a:latin typeface="+mn-lt"/>
              <a:ea typeface="+mn-ea"/>
              <a:cs typeface="+mn-cs"/>
            </a:rPr>
            <a:t>Quarterly series have been restated as if Amundi US had been 100% consolidated using the equity method up to and including Q1 2025.</a:t>
          </a:r>
        </a:p>
        <a:p>
          <a:pPr marL="0" marR="0" lvl="0" indent="0" defTabSz="914400" rtl="0" eaLnBrk="1" fontAlgn="auto" latinLnBrk="0" hangingPunct="1">
            <a:lnSpc>
              <a:spcPct val="100000"/>
            </a:lnSpc>
            <a:spcBef>
              <a:spcPts val="0"/>
            </a:spcBef>
            <a:spcAft>
              <a:spcPts val="0"/>
            </a:spcAft>
            <a:buClrTx/>
            <a:buSzTx/>
            <a:buFontTx/>
            <a:buNone/>
            <a:tabLst/>
            <a:defRPr/>
          </a:pPr>
          <a:r>
            <a:rPr lang="en-GB" sz="1100" i="1">
              <a:solidFill>
                <a:schemeClr val="tx1"/>
              </a:solidFill>
              <a:effectLst/>
              <a:latin typeface="+mn-lt"/>
              <a:ea typeface="+mn-ea"/>
              <a:cs typeface="+mn-cs"/>
            </a:rPr>
            <a:t>For Q1 2026, FY,</a:t>
          </a:r>
          <a:r>
            <a:rPr lang="en-GB" sz="1100" i="1" baseline="0">
              <a:solidFill>
                <a:schemeClr val="tx1"/>
              </a:solidFill>
              <a:effectLst/>
              <a:latin typeface="+mn-lt"/>
              <a:ea typeface="+mn-ea"/>
              <a:cs typeface="+mn-cs"/>
            </a:rPr>
            <a:t> </a:t>
          </a:r>
          <a:r>
            <a:rPr lang="en-GB" sz="1100" i="1">
              <a:solidFill>
                <a:schemeClr val="tx1"/>
              </a:solidFill>
              <a:effectLst/>
              <a:latin typeface="+mn-lt"/>
              <a:ea typeface="+mn-ea"/>
              <a:cs typeface="+mn-cs"/>
            </a:rPr>
            <a:t>9M  and H1 2025 no restatement has been applied and Amundi US is therefore fully included in Q1 2025; FY, 9M and H1 2024 have been restated as if Amundi US had been accounted for under the equity method in Q2, Q3 and Q4 2024, and fully integrated in Q1 2024.</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3.bin"/><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1692-0266-44F6-B7EF-7D5539BCF136}">
  <sheetPr>
    <pageSetUpPr fitToPage="1"/>
  </sheetPr>
  <dimension ref="B1:K64"/>
  <sheetViews>
    <sheetView showGridLines="0" tabSelected="1" topLeftCell="A13" zoomScaleNormal="100" workbookViewId="0">
      <selection activeCell="B20" sqref="B20"/>
    </sheetView>
  </sheetViews>
  <sheetFormatPr defaultColWidth="9.125" defaultRowHeight="15.6" outlineLevelRow="1" x14ac:dyDescent="0.45"/>
  <cols>
    <col min="1" max="1" width="2.75" style="743" customWidth="1"/>
    <col min="2" max="2" width="15.375" style="743" customWidth="1"/>
    <col min="3" max="3" width="18" style="743" customWidth="1"/>
    <col min="4" max="4" width="14.625" style="743" customWidth="1"/>
    <col min="5" max="5" width="14.375" style="743" customWidth="1"/>
    <col min="6" max="16384" width="9.125" style="743"/>
  </cols>
  <sheetData>
    <row r="1" spans="2:11" hidden="1" outlineLevel="1" x14ac:dyDescent="0.45">
      <c r="B1" s="742" t="str">
        <f>YEAR(DateRef)&amp;"Q"&amp;MONTH(DateRef)/3</f>
        <v>2026Q1</v>
      </c>
      <c r="J1" s="744" t="s">
        <v>5</v>
      </c>
      <c r="K1" s="745"/>
    </row>
    <row r="2" spans="2:11" hidden="1" outlineLevel="1" x14ac:dyDescent="0.45">
      <c r="B2" s="742" t="str" cm="1">
        <f t="array" ref="B2">YEAR(DateRef)&amp;INDEX(TableYtd,MONTH(DateRef),1)</f>
        <v>2026Mar</v>
      </c>
      <c r="J2" s="746" t="s">
        <v>6</v>
      </c>
      <c r="K2" s="747"/>
    </row>
    <row r="3" spans="2:11" hidden="1" outlineLevel="1" x14ac:dyDescent="0.45">
      <c r="B3" s="742"/>
      <c r="J3" s="748" t="s">
        <v>7</v>
      </c>
      <c r="K3" s="749" t="s">
        <v>17</v>
      </c>
    </row>
    <row r="4" spans="2:11" hidden="1" outlineLevel="1" x14ac:dyDescent="0.45">
      <c r="B4" s="742"/>
      <c r="J4" s="746" t="s">
        <v>8</v>
      </c>
      <c r="K4" s="747"/>
    </row>
    <row r="5" spans="2:11" hidden="1" outlineLevel="1" x14ac:dyDescent="0.45">
      <c r="B5" s="742"/>
      <c r="J5" s="746" t="s">
        <v>9</v>
      </c>
      <c r="K5" s="747"/>
    </row>
    <row r="6" spans="2:11" hidden="1" outlineLevel="1" x14ac:dyDescent="0.45">
      <c r="B6" s="742"/>
      <c r="J6" s="748" t="s">
        <v>10</v>
      </c>
      <c r="K6" s="749" t="s">
        <v>18</v>
      </c>
    </row>
    <row r="7" spans="2:11" hidden="1" outlineLevel="1" x14ac:dyDescent="0.45">
      <c r="B7" s="742"/>
      <c r="J7" s="746" t="s">
        <v>11</v>
      </c>
      <c r="K7" s="747"/>
    </row>
    <row r="8" spans="2:11" hidden="1" outlineLevel="1" x14ac:dyDescent="0.45">
      <c r="B8" s="742"/>
      <c r="J8" s="746" t="s">
        <v>12</v>
      </c>
      <c r="K8" s="747"/>
    </row>
    <row r="9" spans="2:11" hidden="1" outlineLevel="1" x14ac:dyDescent="0.45">
      <c r="B9" s="742"/>
      <c r="J9" s="748" t="s">
        <v>13</v>
      </c>
      <c r="K9" s="749" t="s">
        <v>19</v>
      </c>
    </row>
    <row r="10" spans="2:11" hidden="1" outlineLevel="1" x14ac:dyDescent="0.45">
      <c r="B10" s="742"/>
      <c r="J10" s="746" t="s">
        <v>14</v>
      </c>
      <c r="K10" s="747"/>
    </row>
    <row r="11" spans="2:11" hidden="1" outlineLevel="1" x14ac:dyDescent="0.45">
      <c r="B11" s="742"/>
      <c r="J11" s="746" t="s">
        <v>15</v>
      </c>
      <c r="K11" s="747"/>
    </row>
    <row r="12" spans="2:11" hidden="1" outlineLevel="1" x14ac:dyDescent="0.45">
      <c r="B12" s="742"/>
      <c r="J12" s="750" t="s">
        <v>16</v>
      </c>
      <c r="K12" s="751" t="s">
        <v>20</v>
      </c>
    </row>
    <row r="13" spans="2:11" ht="15" customHeight="1" collapsed="1" x14ac:dyDescent="0.45"/>
    <row r="14" spans="2:11" ht="20.399999999999999" customHeight="1" x14ac:dyDescent="0.65">
      <c r="D14" s="752" t="s">
        <v>188</v>
      </c>
      <c r="G14" s="753" t="s">
        <v>181</v>
      </c>
    </row>
    <row r="15" spans="2:11" ht="19.8" customHeight="1" x14ac:dyDescent="0.65">
      <c r="D15" s="752"/>
      <c r="G15" s="754" t="s">
        <v>278</v>
      </c>
    </row>
    <row r="16" spans="2:11" ht="15" customHeight="1" x14ac:dyDescent="0.45">
      <c r="D16" s="891" t="s">
        <v>4</v>
      </c>
      <c r="E16" s="890">
        <v>46112</v>
      </c>
      <c r="G16" s="896" t="s">
        <v>532</v>
      </c>
    </row>
    <row r="17" spans="2:7" ht="15" customHeight="1" x14ac:dyDescent="0.55000000000000004">
      <c r="D17" s="755"/>
      <c r="E17" s="756"/>
      <c r="G17" s="754" t="s">
        <v>209</v>
      </c>
    </row>
    <row r="18" spans="2:7" ht="15" customHeight="1" x14ac:dyDescent="0.55000000000000004">
      <c r="D18" s="755"/>
      <c r="E18" s="756"/>
      <c r="G18" s="896" t="s">
        <v>533</v>
      </c>
    </row>
    <row r="19" spans="2:7" ht="15" customHeight="1" x14ac:dyDescent="0.45">
      <c r="G19" s="757" t="s">
        <v>0</v>
      </c>
    </row>
    <row r="20" spans="2:7" ht="15" customHeight="1" x14ac:dyDescent="0.45">
      <c r="G20" s="754" t="s">
        <v>180</v>
      </c>
    </row>
    <row r="21" spans="2:7" ht="15" customHeight="1" x14ac:dyDescent="0.45">
      <c r="G21" s="754" t="s">
        <v>1</v>
      </c>
    </row>
    <row r="22" spans="2:7" ht="15" customHeight="1" x14ac:dyDescent="0.45">
      <c r="G22" s="754" t="s">
        <v>2</v>
      </c>
    </row>
    <row r="23" spans="2:7" ht="15" customHeight="1" x14ac:dyDescent="0.45"/>
    <row r="24" spans="2:7" ht="17.399999999999999" x14ac:dyDescent="0.5">
      <c r="B24" s="758" t="s">
        <v>211</v>
      </c>
    </row>
    <row r="25" spans="2:7" ht="17.399999999999999" x14ac:dyDescent="0.5">
      <c r="B25" s="758" t="s">
        <v>212</v>
      </c>
    </row>
    <row r="26" spans="2:7" ht="17.399999999999999" x14ac:dyDescent="0.5">
      <c r="B26" s="758" t="s">
        <v>184</v>
      </c>
    </row>
    <row r="27" spans="2:7" ht="17.399999999999999" x14ac:dyDescent="0.5">
      <c r="B27" s="882" t="s">
        <v>499</v>
      </c>
    </row>
    <row r="28" spans="2:7" ht="17.399999999999999" x14ac:dyDescent="0.5">
      <c r="B28" s="882"/>
    </row>
    <row r="29" spans="2:7" ht="19.8" x14ac:dyDescent="0.55000000000000004">
      <c r="B29" s="753" t="s">
        <v>183</v>
      </c>
    </row>
    <row r="64" spans="2:2" ht="19.8" x14ac:dyDescent="0.55000000000000004">
      <c r="B64" s="753" t="s">
        <v>187</v>
      </c>
    </row>
  </sheetData>
  <hyperlinks>
    <hyperlink ref="G18" location="'Group P&amp;L (2025 Historical)'!A1" display="Group P&amp;L (2025 Historical)" xr:uid="{BFB2DEA9-D0D8-4DF1-9D30-15A9E90D2A63}"/>
    <hyperlink ref="G19" location="'Assets &amp; flows-by segments'!A1" display="Assets &amp; flows - by segments" xr:uid="{CC58BB3E-6DBE-4B2C-944B-BF4CB2F34A20}"/>
    <hyperlink ref="G20" location="'Assets &amp; flows-by asset classes'!A1" display="Assets &amp; flows - by asset classes (+management types)" xr:uid="{2E9C9443-07DD-423B-B7D4-0A956ADD1687}"/>
    <hyperlink ref="G21" location="'Assets &amp; flows-by geographies'!A1" display="Assets &amp; flows - by geographies" xr:uid="{E09E81E7-0FB5-4138-B5F4-805FAB58B709}"/>
    <hyperlink ref="G22" location="Shareholding!A1" display="Shareholding" xr:uid="{7CEDE919-AB1A-4935-9095-EEB77E905711}"/>
    <hyperlink ref="G16" location="'Group P&amp;L (2025 pro forma)'!A1" display="Group P&amp;L (2025 pro forma)" xr:uid="{89BEBA32-7041-45AF-9011-8D72C9E1A2A1}"/>
    <hyperlink ref="G17" location="'Amundi US - P&amp;L contribution'!A1" display="Amundi US - P&amp;L contribution" xr:uid="{5CC4136E-B9A0-4428-AF53-A23FE85B8194}"/>
    <hyperlink ref="G15" location="'P&amp;L &amp; consensus'!A1" display="P&amp;L &amp; consensus" xr:uid="{A44BAE61-B27E-4474-B441-37CDCE43925A}"/>
  </hyperlinks>
  <pageMargins left="0.39370078740157483" right="0.39370078740157483" top="0.39370078740157483" bottom="0.59055118110236227" header="0.31496062992125984" footer="0.19685039370078741"/>
  <pageSetup paperSize="9" scale="58" orientation="landscape" r:id="rId1"/>
  <headerFooter>
    <oddFooter>&amp;L&amp;"Arial Black,Normal"&amp;F - &amp;A&amp;C&amp;"Arial Black,Normal"&amp;8p. &amp;P / &amp;N&amp;R&amp;"Arial Narrow,Normal"&amp;8&amp;G</oddFooter>
  </headerFooter>
  <customProperties>
    <customPr name="AreLinksHighlighted" r:id="rId2"/>
  </customProperties>
  <drawing r:id="rId3"/>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19F77-124D-4956-A660-53FFE7DA048A}">
  <dimension ref="A1:P7"/>
  <sheetViews>
    <sheetView workbookViewId="0">
      <selection activeCell="P7" sqref="P7"/>
    </sheetView>
  </sheetViews>
  <sheetFormatPr defaultColWidth="9.125" defaultRowHeight="11.4" x14ac:dyDescent="0.2"/>
  <cols>
    <col min="16" max="16" width="12.625" customWidth="1"/>
  </cols>
  <sheetData>
    <row r="1" spans="1:16" x14ac:dyDescent="0.2">
      <c r="A1">
        <v>7</v>
      </c>
      <c r="B1">
        <v>16</v>
      </c>
    </row>
    <row r="7" spans="1:16" ht="12" x14ac:dyDescent="0.25">
      <c r="P7" s="5"/>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1CA07-E16E-42D7-9E6D-4341DC2BB7C5}">
  <dimension ref="A1:W25"/>
  <sheetViews>
    <sheetView workbookViewId="0">
      <selection activeCell="C5" sqref="C5:G5"/>
    </sheetView>
  </sheetViews>
  <sheetFormatPr defaultColWidth="9.125" defaultRowHeight="11.4" x14ac:dyDescent="0.2"/>
  <cols>
    <col min="1" max="1" width="33.75" bestFit="1" customWidth="1"/>
    <col min="2" max="2" width="10.625" bestFit="1" customWidth="1"/>
    <col min="3" max="3" width="10.375" customWidth="1"/>
  </cols>
  <sheetData>
    <row r="1" spans="1:23" x14ac:dyDescent="0.2">
      <c r="A1">
        <v>25</v>
      </c>
      <c r="B1">
        <v>16384</v>
      </c>
    </row>
    <row r="5" spans="1:23" ht="12" x14ac:dyDescent="0.25">
      <c r="C5" s="898"/>
      <c r="D5" s="898"/>
      <c r="E5" s="898"/>
      <c r="F5" s="898"/>
      <c r="G5" s="173"/>
    </row>
    <row r="7" spans="1:23" ht="12" x14ac:dyDescent="0.25">
      <c r="P7" s="5"/>
    </row>
    <row r="8" spans="1:23" x14ac:dyDescent="0.2">
      <c r="A8" s="62"/>
      <c r="B8" s="72"/>
      <c r="C8" s="73"/>
      <c r="D8" s="73"/>
      <c r="E8" s="73"/>
      <c r="G8" s="73"/>
      <c r="H8" s="73"/>
      <c r="I8" s="73"/>
      <c r="J8" s="73"/>
      <c r="K8" s="73"/>
      <c r="L8" s="73"/>
      <c r="M8" s="73"/>
      <c r="N8" s="74"/>
      <c r="O8" s="74"/>
      <c r="P8" s="74"/>
      <c r="Q8" s="74"/>
      <c r="R8" s="74"/>
      <c r="S8" s="74"/>
      <c r="T8" s="74"/>
      <c r="U8" s="74"/>
      <c r="V8" s="74"/>
      <c r="W8" s="74"/>
    </row>
    <row r="25" spans="2:20" ht="12" x14ac:dyDescent="0.25">
      <c r="B25" s="44"/>
      <c r="D25" s="43"/>
      <c r="E25" s="43"/>
      <c r="F25" s="43"/>
      <c r="G25" s="43"/>
      <c r="I25" s="42"/>
      <c r="J25" s="42"/>
      <c r="K25" s="42"/>
      <c r="L25" s="42"/>
      <c r="M25" s="42"/>
      <c r="N25" s="42"/>
      <c r="O25" s="42"/>
      <c r="P25" s="42"/>
      <c r="Q25" s="42"/>
      <c r="R25" s="42"/>
      <c r="S25" s="42"/>
      <c r="T25" s="42"/>
    </row>
  </sheetData>
  <mergeCells count="1">
    <mergeCell ref="C5:F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A787-9732-419F-9A88-8A1AA99315FD}">
  <sheetPr>
    <pageSetUpPr fitToPage="1"/>
  </sheetPr>
  <dimension ref="A1:BB272"/>
  <sheetViews>
    <sheetView showGridLines="0" topLeftCell="A18" zoomScale="86" zoomScaleNormal="90" zoomScaleSheetLayoutView="70" workbookViewId="0">
      <pane xSplit="6" topLeftCell="N1" activePane="topRight" state="frozen"/>
      <selection activeCell="L26" sqref="L26"/>
      <selection pane="topRight" activeCell="N53" sqref="N53"/>
    </sheetView>
  </sheetViews>
  <sheetFormatPr defaultColWidth="8" defaultRowHeight="17.399999999999999" outlineLevelRow="3" outlineLevelCol="5" x14ac:dyDescent="0.5"/>
  <cols>
    <col min="1" max="1" width="20.375" style="421" hidden="1" customWidth="1" outlineLevel="4"/>
    <col min="2" max="2" width="3.125" style="403" customWidth="1" collapsed="1"/>
    <col min="3" max="3" width="50.25" style="403" hidden="1" customWidth="1" outlineLevel="5"/>
    <col min="4" max="4" width="46" style="403" hidden="1" customWidth="1" outlineLevel="5"/>
    <col min="5" max="5" width="52.875" style="403" customWidth="1" collapsed="1"/>
    <col min="6" max="6" width="1.375" style="403" customWidth="1"/>
    <col min="7" max="7" width="11.75" style="394" hidden="1" customWidth="1" outlineLevel="1"/>
    <col min="8" max="8" width="16.25" style="394" hidden="1" customWidth="1" outlineLevel="5"/>
    <col min="9" max="9" width="13.25" style="394" hidden="1" customWidth="1" outlineLevel="3"/>
    <col min="10" max="10" width="10" style="394" hidden="1" customWidth="1" outlineLevel="3"/>
    <col min="11" max="11" width="9.125" style="394" hidden="1" customWidth="1" outlineLevel="4"/>
    <col min="12" max="12" width="10" style="394" hidden="1" customWidth="1" outlineLevel="4"/>
    <col min="13" max="13" width="1.375" style="403" hidden="1" customWidth="1" outlineLevel="2"/>
    <col min="14" max="14" width="10.625" style="394" customWidth="1" collapsed="1"/>
    <col min="15" max="15" width="10.625" style="394" customWidth="1" outlineLevel="2"/>
    <col min="16" max="16" width="10.625" style="394" customWidth="1" outlineLevel="3"/>
    <col min="17" max="17" width="9.125" style="394" hidden="1" customWidth="1" outlineLevel="4"/>
    <col min="18" max="18" width="9.25" style="394" hidden="1" customWidth="1" outlineLevel="4"/>
    <col min="19" max="19" width="1.375" style="403" customWidth="1" outlineLevel="2"/>
    <col min="20" max="20" width="10.625" style="394" customWidth="1" outlineLevel="3"/>
    <col min="21" max="21" width="10.625" style="394" customWidth="1" outlineLevel="2"/>
    <col min="22" max="22" width="1.375" style="386" customWidth="1"/>
    <col min="23" max="24" width="7.375" style="394" hidden="1" customWidth="1" outlineLevel="1"/>
    <col min="25" max="25" width="1.375" style="386" hidden="1" customWidth="1" outlineLevel="1"/>
    <col min="26" max="26" width="7.375" style="394" hidden="1" customWidth="1" outlineLevel="1"/>
    <col min="27" max="27" width="12.625" style="394" hidden="1" customWidth="1" outlineLevel="1"/>
    <col min="28" max="28" width="3.125" style="386" hidden="1" customWidth="1" outlineLevel="1"/>
    <col min="29" max="29" width="9" style="394" hidden="1" customWidth="1" outlineLevel="1"/>
    <col min="30" max="30" width="1.375" style="386" customWidth="1" collapsed="1"/>
    <col min="31" max="31" width="10.625" style="394" customWidth="1" outlineLevel="1"/>
    <col min="32" max="32" width="5.875" style="394" customWidth="1" outlineLevel="1"/>
    <col min="33" max="33" width="10.625" style="394" customWidth="1" outlineLevel="1"/>
    <col min="34" max="36" width="10.625" style="394" customWidth="1" outlineLevel="2"/>
    <col min="37" max="37" width="3.875" style="386" customWidth="1" outlineLevel="1"/>
    <col min="38" max="38" width="1.125" style="386" customWidth="1"/>
    <col min="39" max="41" width="10.625" style="394" customWidth="1" outlineLevel="1"/>
    <col min="42" max="42" width="1.25" style="386" customWidth="1"/>
    <col min="43" max="43" width="8" style="386" customWidth="1" outlineLevel="1"/>
    <col min="44" max="44" width="33" style="386" customWidth="1" outlineLevel="1"/>
    <col min="45" max="45" width="17.625" style="394" customWidth="1" outlineLevel="1"/>
    <col min="46" max="46" width="20.125" style="386" customWidth="1" outlineLevel="1"/>
    <col min="47" max="52" width="13.375" style="386" customWidth="1" outlineLevel="1"/>
    <col min="53" max="54" width="13.375" style="386" customWidth="1"/>
    <col min="55" max="16384" width="8" style="386"/>
  </cols>
  <sheetData>
    <row r="1" spans="1:54" hidden="1" outlineLevel="2" x14ac:dyDescent="0.5">
      <c r="A1" s="380" t="s">
        <v>279</v>
      </c>
      <c r="B1" s="381"/>
      <c r="C1" s="380"/>
      <c r="D1" s="380"/>
      <c r="E1" s="380"/>
      <c r="F1" s="382"/>
      <c r="G1" s="383" t="str">
        <f>YEAR($E$3)&amp;CHOOSE(MONTH($E$3)/3,"Q1","Jun","Sep","Dec")</f>
        <v>2026Q1</v>
      </c>
      <c r="H1" s="382" t="str">
        <f>LEFT($O1,4)&amp;CHOOSE(MONTH($E$3)/3,"Q1","Jun","Sep","Dec")&amp;IF($E$4&lt;&gt;"","_USEqAccnt","")</f>
        <v>2025Q1_USEqAccnt</v>
      </c>
      <c r="I1" s="382" t="str">
        <f>LEFT($N1,4)-1&amp;CHOOSE(MONTH($E$3)/3,"Q1","Jun","Sep","Dec")&amp;IF($E$4&lt;&gt;"","_USEqAccnt","")&amp;"2"</f>
        <v>2025Q1_USEqAccnt2</v>
      </c>
      <c r="J1" s="382"/>
      <c r="K1" s="382" t="str">
        <f>LEFT($N1,4)-1&amp;CHOOSE(MONTH($E$3)/3,"Q1","Jun","Sep","Dec")</f>
        <v>2025Q1</v>
      </c>
      <c r="L1" s="382"/>
      <c r="M1" s="382"/>
      <c r="N1" s="382" t="str">
        <f>YEAR($E$3)&amp;"Q"&amp;MONTH($E$3)/3</f>
        <v>2026Q1</v>
      </c>
      <c r="O1" s="382" t="str">
        <f>LEFT($N1,4)-1&amp;MID($N1,5,2)&amp;IF($E$4&lt;&gt;"","_USEqAccnt","")</f>
        <v>2025Q1_USEqAccnt</v>
      </c>
      <c r="P1" s="382"/>
      <c r="Q1" s="382" t="str">
        <f>LEFT($N1,4)-1&amp;MID($N1,5,2)</f>
        <v>2025Q1</v>
      </c>
      <c r="R1" s="382"/>
      <c r="S1" s="382"/>
      <c r="T1" s="382" t="str">
        <f>YEAR($E$3)-IF(MONTH($E$3)&lt;4,1,0)&amp;CHOOSE(MID($N1,6,1),"Q4","Q1","Q2","Q3")</f>
        <v>2025Q4</v>
      </c>
      <c r="U1" s="382"/>
      <c r="V1" s="384"/>
      <c r="W1" s="385" t="str">
        <f>G1</f>
        <v>2026Q1</v>
      </c>
      <c r="X1" s="385" t="str">
        <f>I1</f>
        <v>2025Q1_USEqAccnt2</v>
      </c>
      <c r="Y1" s="384"/>
      <c r="Z1" s="385" t="str">
        <f>N1</f>
        <v>2026Q1</v>
      </c>
      <c r="AA1" s="385" t="str">
        <f>O1</f>
        <v>2025Q1_USEqAccnt</v>
      </c>
      <c r="AB1" s="384"/>
      <c r="AC1" s="385" t="str">
        <f>T1</f>
        <v>2025Q4</v>
      </c>
      <c r="AD1" s="384"/>
      <c r="AE1" s="382" t="s">
        <v>280</v>
      </c>
      <c r="AF1" s="382" t="s">
        <v>281</v>
      </c>
      <c r="AG1" s="382"/>
      <c r="AH1" s="382"/>
      <c r="AI1" s="382" t="s">
        <v>280</v>
      </c>
      <c r="AJ1" s="382" t="s">
        <v>280</v>
      </c>
      <c r="AK1" s="384"/>
      <c r="AL1" s="384"/>
      <c r="AM1" s="382" t="s">
        <v>282</v>
      </c>
      <c r="AN1" s="382" t="s">
        <v>283</v>
      </c>
      <c r="AO1" s="382" t="s">
        <v>284</v>
      </c>
      <c r="AP1" s="382" t="str">
        <f>YEAR($E$3)&amp;"Enew"</f>
        <v>2026Enew</v>
      </c>
      <c r="AS1" s="387"/>
      <c r="AT1" s="387"/>
      <c r="AU1" s="387"/>
      <c r="AV1" s="387"/>
      <c r="AW1" s="387"/>
      <c r="AX1" s="387"/>
      <c r="AY1" s="387"/>
      <c r="AZ1" s="387"/>
      <c r="BA1" s="387"/>
      <c r="BB1" s="387"/>
    </row>
    <row r="2" spans="1:54" ht="18" hidden="1" outlineLevel="1" collapsed="1" x14ac:dyDescent="0.5">
      <c r="A2" s="388"/>
      <c r="B2" s="389"/>
      <c r="C2" s="390"/>
      <c r="D2" s="390"/>
      <c r="E2" s="390" t="s">
        <v>285</v>
      </c>
      <c r="F2" s="384"/>
      <c r="G2" s="391" t="e">
        <f>IF(SUM(W$16:W$112)&lt;&gt;0,"CAUTION!","")</f>
        <v>#VALUE!</v>
      </c>
      <c r="H2" s="391" t="e">
        <f>IF(SUM(W$16:W$112)&lt;&gt;0,"CAUTION!","")</f>
        <v>#VALUE!</v>
      </c>
      <c r="I2" s="391" t="e">
        <f>IF(SUM(X$16:X$112)&lt;&gt;0,"CAUTION!","")</f>
        <v>#VALUE!</v>
      </c>
      <c r="J2" s="391" t="e">
        <f>G2&amp;I2</f>
        <v>#VALUE!</v>
      </c>
      <c r="K2" s="391" t="e">
        <f>IF(SUM(W$16:W$112)&lt;&gt;0,"CAUTION!","")</f>
        <v>#VALUE!</v>
      </c>
      <c r="L2" s="391" t="e">
        <f>F2&amp;K2</f>
        <v>#VALUE!</v>
      </c>
      <c r="M2" s="384"/>
      <c r="N2" s="391" t="e">
        <f>IF(SUM(Z$16:Z$112)&lt;&gt;0,"CAUTION!","")</f>
        <v>#REF!</v>
      </c>
      <c r="O2" s="391" t="e">
        <f>IF(SUM(AA$16:AA$112)&lt;&gt;0,"CAUTION!","")</f>
        <v>#REF!</v>
      </c>
      <c r="P2" s="391" t="e">
        <f>N2&amp;O2</f>
        <v>#REF!</v>
      </c>
      <c r="Q2" s="391" t="e">
        <f>IF(SUM(Z$16:Z$112)&lt;&gt;0,"CAUTION!","")</f>
        <v>#REF!</v>
      </c>
      <c r="R2" s="391" t="e">
        <f>M2&amp;Q2</f>
        <v>#REF!</v>
      </c>
      <c r="S2" s="384"/>
      <c r="T2" s="391" t="e">
        <f>IF(SUM(AC$16:AC$112)&lt;&gt;0,"CAUTION!","")</f>
        <v>#REF!</v>
      </c>
      <c r="U2" s="391" t="e">
        <f>T2</f>
        <v>#REF!</v>
      </c>
      <c r="V2" s="384"/>
      <c r="W2" s="392" t="s">
        <v>286</v>
      </c>
      <c r="X2" s="392" t="s">
        <v>286</v>
      </c>
      <c r="Y2" s="384"/>
      <c r="Z2" s="392" t="s">
        <v>286</v>
      </c>
      <c r="AA2" s="392" t="s">
        <v>286</v>
      </c>
      <c r="AB2" s="384"/>
      <c r="AC2" s="392" t="s">
        <v>286</v>
      </c>
      <c r="AD2" s="384"/>
      <c r="AE2" s="393"/>
      <c r="AF2" s="393"/>
      <c r="AG2" s="393"/>
      <c r="AH2" s="393"/>
      <c r="AK2" s="384"/>
      <c r="AL2" s="384"/>
      <c r="AM2" s="393"/>
      <c r="AN2" s="393"/>
      <c r="AO2" s="393"/>
      <c r="AP2" s="384"/>
      <c r="AS2" s="386"/>
    </row>
    <row r="3" spans="1:54" ht="18" hidden="1" outlineLevel="1" x14ac:dyDescent="0.5">
      <c r="A3" s="388"/>
      <c r="B3" s="389"/>
      <c r="C3" s="395"/>
      <c r="D3" s="395"/>
      <c r="E3" s="395">
        <v>46112</v>
      </c>
      <c r="F3" s="384"/>
      <c r="G3" s="396" t="s">
        <v>287</v>
      </c>
      <c r="H3" s="384"/>
      <c r="I3" s="384"/>
      <c r="J3" s="384"/>
      <c r="K3" s="384"/>
      <c r="L3" s="384"/>
      <c r="M3" s="384"/>
      <c r="N3" s="396" t="s">
        <v>287</v>
      </c>
      <c r="O3" s="384"/>
      <c r="P3" s="384"/>
      <c r="Q3" s="384"/>
      <c r="R3" s="384"/>
      <c r="S3" s="384"/>
      <c r="T3" s="384"/>
      <c r="U3" s="384"/>
      <c r="V3" s="384"/>
      <c r="W3" s="392"/>
      <c r="X3" s="392"/>
      <c r="Y3" s="384"/>
      <c r="Z3" s="392"/>
      <c r="AA3" s="392"/>
      <c r="AB3" s="384"/>
      <c r="AC3" s="392"/>
      <c r="AD3" s="384"/>
      <c r="AE3" s="393"/>
      <c r="AF3" s="393"/>
      <c r="AG3" s="393"/>
      <c r="AH3" s="393"/>
      <c r="AK3" s="384"/>
      <c r="AL3" s="384"/>
      <c r="AM3" s="393"/>
      <c r="AN3" s="393"/>
      <c r="AO3" s="393"/>
      <c r="AP3" s="384"/>
      <c r="AS3" s="386"/>
    </row>
    <row r="4" spans="1:54" ht="18" hidden="1" outlineLevel="1" x14ac:dyDescent="0.5">
      <c r="A4" s="389"/>
      <c r="B4" s="389"/>
      <c r="C4" s="390"/>
      <c r="D4" s="390" t="s">
        <v>288</v>
      </c>
      <c r="E4" s="397" t="s">
        <v>288</v>
      </c>
      <c r="F4" s="384"/>
      <c r="G4" s="398">
        <f>-G$27*1%</f>
        <v>-9.0246033670999957</v>
      </c>
      <c r="H4" s="384" t="s">
        <v>289</v>
      </c>
      <c r="I4" s="384" t="s">
        <v>289</v>
      </c>
      <c r="J4" s="384"/>
      <c r="K4" s="384" t="s">
        <v>289</v>
      </c>
      <c r="L4" s="384"/>
      <c r="M4" s="384"/>
      <c r="N4" s="398">
        <f>-N$27*1%</f>
        <v>-9.0246033670999957</v>
      </c>
      <c r="O4" s="384" t="s">
        <v>289</v>
      </c>
      <c r="P4" s="384"/>
      <c r="Q4" s="384" t="s">
        <v>289</v>
      </c>
      <c r="R4" s="384"/>
      <c r="S4" s="384"/>
      <c r="T4" s="384"/>
      <c r="U4" s="384"/>
      <c r="V4" s="384"/>
      <c r="W4" s="399"/>
      <c r="X4" s="399"/>
      <c r="Y4" s="384"/>
      <c r="Z4" s="399"/>
      <c r="AA4" s="399"/>
      <c r="AB4" s="384"/>
      <c r="AC4" s="399"/>
      <c r="AD4" s="384"/>
      <c r="AE4" s="384"/>
      <c r="AF4" s="384"/>
      <c r="AG4" s="384"/>
      <c r="AH4" s="384"/>
      <c r="AI4" s="400" t="s">
        <v>290</v>
      </c>
      <c r="AJ4" s="400" t="s">
        <v>291</v>
      </c>
      <c r="AK4" s="384"/>
      <c r="AL4" s="384"/>
      <c r="AM4" s="384"/>
      <c r="AN4" s="384"/>
      <c r="AO4" s="384"/>
      <c r="AP4" s="384"/>
      <c r="AS4" s="386"/>
    </row>
    <row r="5" spans="1:54" ht="18" hidden="1" outlineLevel="1" x14ac:dyDescent="0.5">
      <c r="A5" s="388"/>
      <c r="B5" s="389"/>
      <c r="C5" s="395" t="s">
        <v>292</v>
      </c>
      <c r="D5" s="395" t="s">
        <v>293</v>
      </c>
      <c r="E5" s="397" t="s">
        <v>292</v>
      </c>
      <c r="F5" s="384"/>
      <c r="G5" s="398">
        <f>-G$32/(G$37+1%)-G$27</f>
        <v>-17.540640272350629</v>
      </c>
      <c r="H5" s="384" t="s">
        <v>294</v>
      </c>
      <c r="I5" s="384" t="s">
        <v>294</v>
      </c>
      <c r="J5" s="384"/>
      <c r="K5" s="384" t="s">
        <v>294</v>
      </c>
      <c r="L5" s="384"/>
      <c r="M5" s="384"/>
      <c r="N5" s="398">
        <f>-N$32/(N$37+1%)-N$27</f>
        <v>-17.540640272350629</v>
      </c>
      <c r="O5" s="384" t="s">
        <v>294</v>
      </c>
      <c r="P5" s="384"/>
      <c r="Q5" s="384" t="s">
        <v>294</v>
      </c>
      <c r="R5" s="384"/>
      <c r="S5" s="384"/>
      <c r="T5" s="401"/>
      <c r="U5" s="384"/>
      <c r="V5" s="384"/>
      <c r="W5" s="399"/>
      <c r="X5" s="399"/>
      <c r="Y5" s="384"/>
      <c r="Z5" s="399"/>
      <c r="AA5" s="399"/>
      <c r="AB5" s="384"/>
      <c r="AC5" s="399"/>
      <c r="AD5" s="384"/>
      <c r="AE5" s="384"/>
      <c r="AF5" s="384"/>
      <c r="AG5" s="384"/>
      <c r="AH5" s="384"/>
      <c r="AI5" s="400" t="s">
        <v>295</v>
      </c>
      <c r="AJ5" s="400" t="s">
        <v>296</v>
      </c>
      <c r="AK5" s="384"/>
      <c r="AL5" s="384"/>
      <c r="AM5" s="384"/>
      <c r="AN5" s="384"/>
      <c r="AO5" s="384"/>
      <c r="AP5" s="384"/>
      <c r="AS5" s="386"/>
    </row>
    <row r="6" spans="1:54" ht="18" hidden="1" outlineLevel="1" x14ac:dyDescent="0.5">
      <c r="A6" s="388"/>
      <c r="B6" s="389"/>
      <c r="C6" s="395"/>
      <c r="D6" s="395"/>
      <c r="E6" s="397"/>
      <c r="F6" s="384"/>
      <c r="G6" s="706"/>
      <c r="H6" s="384"/>
      <c r="I6" s="384"/>
      <c r="J6" s="384"/>
      <c r="K6" s="384"/>
      <c r="L6" s="384"/>
      <c r="M6" s="384"/>
      <c r="N6" s="706"/>
      <c r="O6" s="384"/>
      <c r="P6" s="384"/>
      <c r="Q6" s="384"/>
      <c r="R6" s="384"/>
      <c r="S6" s="384"/>
      <c r="T6" s="401"/>
      <c r="U6" s="384"/>
      <c r="V6" s="384"/>
      <c r="W6" s="399"/>
      <c r="X6" s="399"/>
      <c r="Y6" s="384"/>
      <c r="Z6" s="399"/>
      <c r="AA6" s="399"/>
      <c r="AB6" s="384"/>
      <c r="AC6" s="399"/>
      <c r="AD6" s="384"/>
      <c r="AE6" s="384"/>
      <c r="AF6" s="384"/>
      <c r="AG6" s="384"/>
      <c r="AH6" s="384"/>
      <c r="AI6" s="400"/>
      <c r="AJ6" s="400"/>
      <c r="AK6" s="384"/>
      <c r="AL6" s="384"/>
      <c r="AM6" s="384"/>
      <c r="AN6" s="384"/>
      <c r="AO6" s="384"/>
      <c r="AP6" s="384"/>
      <c r="AS6" s="386"/>
    </row>
    <row r="7" spans="1:54" ht="18" hidden="1" outlineLevel="1" x14ac:dyDescent="0.5">
      <c r="A7" s="388"/>
      <c r="B7" s="389"/>
      <c r="C7" s="395"/>
      <c r="D7" s="395"/>
      <c r="E7" s="397"/>
      <c r="F7" s="384"/>
      <c r="G7" s="706"/>
      <c r="H7" s="384"/>
      <c r="I7" s="384"/>
      <c r="J7" s="384"/>
      <c r="K7" s="384"/>
      <c r="L7" s="384"/>
      <c r="M7" s="384"/>
      <c r="N7" s="706"/>
      <c r="O7" s="384"/>
      <c r="P7" s="384"/>
      <c r="Q7" s="384"/>
      <c r="R7" s="384"/>
      <c r="S7" s="384"/>
      <c r="T7" s="401"/>
      <c r="U7" s="384"/>
      <c r="V7" s="384"/>
      <c r="W7" s="399"/>
      <c r="X7" s="399"/>
      <c r="Y7" s="384"/>
      <c r="Z7" s="399"/>
      <c r="AA7" s="399"/>
      <c r="AB7" s="384"/>
      <c r="AC7" s="399"/>
      <c r="AD7" s="384"/>
      <c r="AE7" s="384"/>
      <c r="AF7" s="384"/>
      <c r="AG7" s="384"/>
      <c r="AH7" s="384"/>
      <c r="AI7" s="400"/>
      <c r="AJ7" s="400"/>
      <c r="AK7" s="384"/>
      <c r="AL7" s="384"/>
      <c r="AM7" s="384"/>
      <c r="AN7" s="384"/>
      <c r="AO7" s="384"/>
      <c r="AP7" s="384"/>
      <c r="AS7" s="386"/>
    </row>
    <row r="8" spans="1:54" ht="23.4" collapsed="1" x14ac:dyDescent="0.65">
      <c r="A8" s="388"/>
      <c r="B8" s="389"/>
      <c r="C8" s="395"/>
      <c r="D8" s="395"/>
      <c r="E8" s="402" t="str">
        <f>"P&amp;L &amp; consensus - "&amp;$G$14&amp;""</f>
        <v>P&amp;L &amp; consensus - Q1 2026</v>
      </c>
      <c r="F8" s="384"/>
      <c r="V8" s="384"/>
      <c r="W8" s="399"/>
      <c r="X8" s="399"/>
      <c r="Y8" s="384"/>
      <c r="Z8" s="399"/>
      <c r="AA8" s="399"/>
      <c r="AB8" s="384"/>
      <c r="AC8" s="399"/>
      <c r="AD8" s="384"/>
      <c r="AE8" s="384"/>
      <c r="AF8" s="384"/>
      <c r="AG8" s="384"/>
      <c r="AH8" s="384"/>
      <c r="AK8" s="384"/>
      <c r="AL8" s="384"/>
      <c r="AM8" s="384"/>
      <c r="AN8" s="384"/>
      <c r="AO8" s="384"/>
      <c r="AP8" s="384"/>
      <c r="AS8" s="386"/>
    </row>
    <row r="9" spans="1:54" ht="18.600000000000001" thickBot="1" x14ac:dyDescent="0.55000000000000004">
      <c r="A9" s="389"/>
      <c r="B9" s="404">
        <v>1</v>
      </c>
      <c r="C9" s="405" t="s">
        <v>297</v>
      </c>
      <c r="D9" s="405" t="s">
        <v>298</v>
      </c>
      <c r="E9" s="405" t="str">
        <f>IF($E$5="EN",$D:$D,$C:$C)</f>
        <v>Profit &amp; Loss + Alternative Performance Measures</v>
      </c>
      <c r="F9" s="406"/>
      <c r="G9" s="407" t="s">
        <v>299</v>
      </c>
      <c r="H9" s="407"/>
      <c r="I9" s="407"/>
      <c r="J9" s="407"/>
      <c r="K9" s="407"/>
      <c r="L9" s="407"/>
      <c r="M9" s="406"/>
      <c r="N9" s="407" t="s">
        <v>300</v>
      </c>
      <c r="O9" s="407"/>
      <c r="P9" s="407"/>
      <c r="Q9" s="407"/>
      <c r="R9" s="407"/>
      <c r="S9" s="407"/>
      <c r="T9" s="407"/>
      <c r="U9" s="407"/>
      <c r="V9" s="406"/>
      <c r="W9" s="408" t="s">
        <v>299</v>
      </c>
      <c r="X9" s="408"/>
      <c r="Y9" s="406"/>
      <c r="Z9" s="408" t="s">
        <v>301</v>
      </c>
      <c r="AA9" s="408"/>
      <c r="AB9" s="408"/>
      <c r="AC9" s="408"/>
      <c r="AD9" s="406"/>
      <c r="AE9" s="409" t="str">
        <f>"Consensus - "&amp;$N$14</f>
        <v>Consensus - Q1 2026</v>
      </c>
      <c r="AF9" s="409"/>
      <c r="AG9" s="409"/>
      <c r="AH9" s="409"/>
      <c r="AI9" s="410"/>
      <c r="AJ9" s="410"/>
      <c r="AK9" s="411"/>
      <c r="AL9" s="411"/>
      <c r="AM9" s="409" t="str">
        <f>"Pre-"&amp;$N14&amp;" consensus"</f>
        <v>Pre-Q1 2026 consensus</v>
      </c>
      <c r="AN9" s="409"/>
      <c r="AO9" s="409"/>
      <c r="AP9" s="384"/>
      <c r="AS9" s="386"/>
    </row>
    <row r="10" spans="1:54" ht="5.85" customHeight="1" x14ac:dyDescent="0.5">
      <c r="A10" s="384"/>
      <c r="B10" s="411"/>
      <c r="C10" s="411"/>
      <c r="D10" s="411"/>
      <c r="E10" s="411"/>
      <c r="F10" s="411"/>
      <c r="G10" s="411"/>
      <c r="H10" s="411"/>
      <c r="I10" s="411"/>
      <c r="J10" s="411"/>
      <c r="K10" s="411"/>
      <c r="L10" s="411"/>
      <c r="M10" s="411"/>
      <c r="N10" s="411"/>
      <c r="O10" s="411"/>
      <c r="P10" s="411"/>
      <c r="Q10" s="411"/>
      <c r="R10" s="411"/>
      <c r="S10" s="411"/>
      <c r="T10" s="411"/>
      <c r="U10" s="411"/>
      <c r="V10" s="411"/>
      <c r="W10" s="411"/>
      <c r="X10" s="411"/>
      <c r="Y10" s="411"/>
      <c r="Z10" s="411"/>
      <c r="AA10" s="411"/>
      <c r="AB10" s="411"/>
      <c r="AC10" s="411"/>
      <c r="AD10" s="411"/>
      <c r="AE10" s="411"/>
      <c r="AF10" s="411"/>
      <c r="AG10" s="411"/>
      <c r="AH10" s="411"/>
      <c r="AI10" s="412"/>
      <c r="AJ10" s="412"/>
      <c r="AK10" s="411"/>
      <c r="AL10" s="411"/>
      <c r="AM10" s="411"/>
      <c r="AN10" s="411"/>
      <c r="AO10" s="411"/>
      <c r="AP10" s="411"/>
      <c r="AS10" s="386"/>
    </row>
    <row r="11" spans="1:54" ht="5.85" customHeight="1" x14ac:dyDescent="0.5">
      <c r="A11" s="384"/>
      <c r="B11" s="411"/>
      <c r="C11" s="411"/>
      <c r="D11" s="411"/>
      <c r="E11" s="411"/>
      <c r="F11" s="411"/>
      <c r="G11" s="411"/>
      <c r="H11" s="411"/>
      <c r="I11" s="411"/>
      <c r="J11" s="411"/>
      <c r="K11" s="411"/>
      <c r="L11" s="411"/>
      <c r="M11" s="411"/>
      <c r="N11" s="411"/>
      <c r="O11" s="411"/>
      <c r="P11" s="411"/>
      <c r="Q11" s="411"/>
      <c r="R11" s="411"/>
      <c r="S11" s="411"/>
      <c r="T11" s="411"/>
      <c r="U11" s="411"/>
      <c r="V11" s="411"/>
      <c r="W11" s="411"/>
      <c r="X11" s="411"/>
      <c r="Y11" s="411"/>
      <c r="Z11" s="411"/>
      <c r="AA11" s="411"/>
      <c r="AB11" s="411"/>
      <c r="AC11" s="411"/>
      <c r="AD11" s="411"/>
      <c r="AE11" s="411"/>
      <c r="AF11" s="411"/>
      <c r="AG11" s="411"/>
      <c r="AH11" s="411"/>
      <c r="AI11" s="412"/>
      <c r="AJ11" s="412"/>
      <c r="AK11" s="411"/>
      <c r="AL11" s="411"/>
      <c r="AM11" s="411"/>
      <c r="AN11" s="411"/>
      <c r="AO11" s="411"/>
      <c r="AP11" s="411"/>
      <c r="AS11" s="386"/>
    </row>
    <row r="12" spans="1:54" ht="36.6" hidden="1" customHeight="1" outlineLevel="3" thickBot="1" x14ac:dyDescent="0.55000000000000004">
      <c r="A12" s="381" t="s">
        <v>293</v>
      </c>
      <c r="B12" s="413"/>
      <c r="C12" s="414"/>
      <c r="D12" s="414"/>
      <c r="E12" s="414" t="s">
        <v>293</v>
      </c>
      <c r="F12" s="415"/>
      <c r="G12" s="416" t="str">
        <f>CHOOSE(MATCH(MID($1:$1,5,3),{"Q1";"Jun";"Sep";"Dec"},0),"T1 ","S1 ","9M ","")&amp;LEFT($1:$1,4)</f>
        <v>T1 2026</v>
      </c>
      <c r="H12" s="416" t="e">
        <f>CHOOSE(MATCH(MID($1:$1,5,3),{"Q1";"Jun";"Sep";"Dec"},0),"T1 ","S1 ","9M ","")&amp;LEFT($1:$1,4)</f>
        <v>#N/A</v>
      </c>
      <c r="I12" s="416" t="e">
        <f>CHOOSE(MATCH(MID($1:$1,5,3),{"Q1";"Jun";"Sep";"Dec"},0),"T1 ","S1 ","9M ","")&amp;LEFT($1:$1,4)</f>
        <v>#N/A</v>
      </c>
      <c r="J12" s="416" t="str">
        <f>"% var.
"&amp;MID($G$1,3,2)&amp;"/"&amp;MID(I$1,3,2)</f>
        <v>% var.
26/25</v>
      </c>
      <c r="K12" s="416" t="str">
        <f>CHOOSE(MATCH(MID($1:$1,5,3),{"Q1";"Jun";"Sep";"Dec"},0),"T1 ","S1 ","9M ","")&amp;LEFT($1:$1,4)</f>
        <v>T1 2025</v>
      </c>
      <c r="L12" s="416" t="str">
        <f>"% var.
"&amp;MID($G$1,3,2)&amp;"/"&amp;MID(K$1,3,2)</f>
        <v>% var.
26/25</v>
      </c>
      <c r="M12" s="417"/>
      <c r="N12" s="416" t="str">
        <f>SUBSTITUTE(MID($1:$1,5,2),"Q","T")&amp;" "&amp;LEFT($1:$1,4)</f>
        <v>T1 2026</v>
      </c>
      <c r="O12" s="416" t="str">
        <f>SUBSTITUTE(MID($1:$1,5,2),"Q","T")&amp;" "&amp;LEFT($1:$1,4)</f>
        <v>T1 2025</v>
      </c>
      <c r="P12" s="416" t="str">
        <f>"% var.
"&amp;LEFT(N12,2)&amp;"/"&amp;LEFT(O12,2)</f>
        <v>% var.
T1/T1</v>
      </c>
      <c r="Q12" s="416" t="str">
        <f>SUBSTITUTE(MID($1:$1,5,2),"Q","T")&amp;" "&amp;LEFT($1:$1,4)</f>
        <v>T1 2025</v>
      </c>
      <c r="R12" s="416" t="str">
        <f>"% var.
"&amp;LEFT(N12,2)&amp;"/"&amp;LEFT(Q12,2)</f>
        <v>% var.
T1/T1</v>
      </c>
      <c r="S12" s="417"/>
      <c r="T12" s="416" t="str">
        <f>SUBSTITUTE(MID($1:$1,5,2),"Q","T")&amp;" "&amp;LEFT($1:$1,4)</f>
        <v>T4 2025</v>
      </c>
      <c r="U12" s="416" t="str">
        <f>"% var.
"&amp;LEFT(N12,2)&amp;"/"&amp;LEFT(T12,2)</f>
        <v>% var.
T1/T4</v>
      </c>
      <c r="V12" s="411"/>
      <c r="W12" s="418" t="str">
        <f>G12</f>
        <v>T1 2026</v>
      </c>
      <c r="X12" s="418" t="e">
        <f>I12</f>
        <v>#N/A</v>
      </c>
      <c r="Y12" s="411"/>
      <c r="Z12" s="418" t="str">
        <f t="shared" ref="Z12:AA14" si="0">N12</f>
        <v>T1 2026</v>
      </c>
      <c r="AA12" s="418" t="str">
        <f t="shared" si="0"/>
        <v>T1 2025</v>
      </c>
      <c r="AB12" s="411"/>
      <c r="AC12" s="418" t="str">
        <f>T12</f>
        <v>T4 2025</v>
      </c>
      <c r="AD12" s="411"/>
      <c r="AE12" s="419" t="s">
        <v>302</v>
      </c>
      <c r="AF12" s="419" t="s">
        <v>303</v>
      </c>
      <c r="AG12" s="419" t="s">
        <v>304</v>
      </c>
      <c r="AH12" s="419" t="s">
        <v>305</v>
      </c>
      <c r="AI12" s="420" t="s">
        <v>306</v>
      </c>
      <c r="AJ12" s="420" t="s">
        <v>307</v>
      </c>
      <c r="AK12" s="411"/>
      <c r="AL12" s="411"/>
      <c r="AM12" s="419" t="s">
        <v>302</v>
      </c>
      <c r="AN12" s="419" t="s">
        <v>302</v>
      </c>
      <c r="AO12" s="419" t="s">
        <v>302</v>
      </c>
      <c r="AP12" s="411"/>
      <c r="AS12" s="386"/>
    </row>
    <row r="13" spans="1:54" ht="36.6" hidden="1" customHeight="1" outlineLevel="3" thickBot="1" x14ac:dyDescent="0.55000000000000004">
      <c r="A13" s="381" t="s">
        <v>292</v>
      </c>
      <c r="B13" s="413"/>
      <c r="C13" s="414"/>
      <c r="D13" s="414"/>
      <c r="E13" s="414" t="s">
        <v>292</v>
      </c>
      <c r="F13" s="415"/>
      <c r="G13" s="416" t="str">
        <f>CHOOSE(MATCH(MID($1:$1,5,3),{"Q1";"Jun";"Sep";"Dec"},0),"Q1 ","H1 ","9M ","")&amp;LEFT($1:$1,4)</f>
        <v>Q1 2026</v>
      </c>
      <c r="H13" s="416" t="e">
        <f>CHOOSE(MATCH(MID($1:$1,5,3),{"Q1";"Jun";"Sep";"Dec"},0),"Q1 ","H1 ","9M ","")&amp;LEFT($1:$1,4)</f>
        <v>#N/A</v>
      </c>
      <c r="I13" s="416" t="e">
        <f>CHOOSE(MATCH(MID($1:$1,5,3),{"Q1";"Jun";"Sep";"Dec"},0),"Q1 ","H1 ","9M ","")&amp;LEFT($1:$1,4)</f>
        <v>#N/A</v>
      </c>
      <c r="J13" s="416" t="str">
        <f>"% ch.
"&amp;MID($G$1,3,2)&amp;"/"&amp;MID(I$1,3,2)</f>
        <v>% ch.
26/25</v>
      </c>
      <c r="K13" s="416" t="str">
        <f>CHOOSE(MATCH(MID($1:$1,5,3),{"Q1";"Jun";"Sep";"Dec"},0),"Q1 ","H1 ","9M ","")&amp;LEFT($1:$1,4)</f>
        <v>Q1 2025</v>
      </c>
      <c r="L13" s="416" t="str">
        <f>"% ch.
"&amp;MID($G$1,3,2)&amp;"/"&amp;MID(K$1,3,2)</f>
        <v>% ch.
26/25</v>
      </c>
      <c r="M13" s="417"/>
      <c r="N13" s="416" t="str">
        <f>MID($1:$1,5,2)&amp;" "&amp;LEFT($1:$1,4)</f>
        <v>Q1 2026</v>
      </c>
      <c r="O13" s="416" t="str">
        <f>MID($1:$1,5,2)&amp;" "&amp;LEFT($1:$1,4)</f>
        <v>Q1 2025</v>
      </c>
      <c r="P13" s="416" t="str">
        <f>"% ch.
"&amp;LEFT(N13,2)&amp;"/"&amp;LEFT(O13,2)</f>
        <v>% ch.
Q1/Q1</v>
      </c>
      <c r="Q13" s="416" t="str">
        <f>MID($1:$1,5,2)&amp;" "&amp;LEFT($1:$1,4)</f>
        <v>Q1 2025</v>
      </c>
      <c r="R13" s="416" t="str">
        <f>"% ch.
"&amp;LEFT(N13,2)&amp;"/"&amp;LEFT(Q13,2)</f>
        <v>% ch.
Q1/Q1</v>
      </c>
      <c r="S13" s="417"/>
      <c r="T13" s="416" t="str">
        <f>MID($1:$1,5,2)&amp;" "&amp;LEFT($1:$1,4)</f>
        <v>Q4 2025</v>
      </c>
      <c r="U13" s="416" t="str">
        <f>"% ch.
"&amp;LEFT(N13,2)&amp;"/"&amp;LEFT(T13,2)</f>
        <v>% ch.
Q1/Q4</v>
      </c>
      <c r="V13" s="411"/>
      <c r="W13" s="418" t="str">
        <f>G13</f>
        <v>Q1 2026</v>
      </c>
      <c r="X13" s="418" t="e">
        <f>I13</f>
        <v>#N/A</v>
      </c>
      <c r="Y13" s="411"/>
      <c r="Z13" s="418" t="str">
        <f t="shared" si="0"/>
        <v>Q1 2026</v>
      </c>
      <c r="AA13" s="418" t="str">
        <f t="shared" si="0"/>
        <v>Q1 2025</v>
      </c>
      <c r="AB13" s="411"/>
      <c r="AC13" s="418" t="str">
        <f>T13</f>
        <v>Q4 2025</v>
      </c>
      <c r="AD13" s="411"/>
      <c r="AE13" s="419" t="s">
        <v>308</v>
      </c>
      <c r="AF13" s="419" t="s">
        <v>303</v>
      </c>
      <c r="AG13" s="419" t="s">
        <v>304</v>
      </c>
      <c r="AH13" s="419" t="s">
        <v>309</v>
      </c>
      <c r="AI13" s="420" t="s">
        <v>306</v>
      </c>
      <c r="AJ13" s="420" t="s">
        <v>307</v>
      </c>
      <c r="AK13" s="411"/>
      <c r="AL13" s="411"/>
      <c r="AM13" s="419" t="s">
        <v>308</v>
      </c>
      <c r="AN13" s="419" t="s">
        <v>308</v>
      </c>
      <c r="AO13" s="419" t="s">
        <v>308</v>
      </c>
      <c r="AP13" s="411"/>
      <c r="AS13" s="386"/>
    </row>
    <row r="14" spans="1:54" ht="40.35" customHeight="1" collapsed="1" thickBot="1" x14ac:dyDescent="0.55000000000000004">
      <c r="B14" s="422"/>
      <c r="C14" s="423" t="s">
        <v>310</v>
      </c>
      <c r="D14" s="423" t="s">
        <v>311</v>
      </c>
      <c r="E14" s="424" t="s">
        <v>277</v>
      </c>
      <c r="F14" s="417"/>
      <c r="G14" s="416" t="str">
        <f>IF($E$5="EN",$13:$13,$12:$12)</f>
        <v>Q1 2026</v>
      </c>
      <c r="H14" s="416" t="e">
        <f>IF($E$5="EN",$13:$13,$12:$12)&amp;IF($E$4&lt;&gt;"","*","")</f>
        <v>#N/A</v>
      </c>
      <c r="I14" s="416" t="e">
        <f>IF($E$5="EN",$13:$13,$12:$12)&amp;IF($E$4&lt;&gt;"","*","")</f>
        <v>#N/A</v>
      </c>
      <c r="J14" s="416" t="str">
        <f>IF($E$5="EN",$13:$13,$12:$12)&amp;IF($E$4&lt;&gt;"","*","")</f>
        <v>% ch.
26/25*</v>
      </c>
      <c r="K14" s="416" t="str">
        <f>IF($E$5="EN",$13:$13,$12:$12)</f>
        <v>Q1 2025</v>
      </c>
      <c r="L14" s="416" t="str">
        <f>IF($E$5="EN",$13:$13,$12:$12)</f>
        <v>% ch.
26/25</v>
      </c>
      <c r="M14" s="417"/>
      <c r="N14" s="416" t="str">
        <f>IF($E$5="EN",$13:$13,$12:$12)</f>
        <v>Q1 2026</v>
      </c>
      <c r="O14" s="416" t="str">
        <f>IF($E$5="EN",$13:$13,$12:$12)&amp;IF($E$4&lt;&gt;"","*","")</f>
        <v>Q1 2025*</v>
      </c>
      <c r="P14" s="416" t="str">
        <f>IF($E$5="EN",$13:$13,$12:$12)&amp;IF($E$4&lt;&gt;"","*","")</f>
        <v>% ch.
Q1/Q1*</v>
      </c>
      <c r="Q14" s="416" t="str">
        <f>IF($E$5="EN",$13:$13,$12:$12)</f>
        <v>Q1 2025</v>
      </c>
      <c r="R14" s="416" t="str">
        <f>IF($E$5="EN",$13:$13,$12:$12)</f>
        <v>% ch.
Q1/Q1</v>
      </c>
      <c r="S14" s="417"/>
      <c r="T14" s="416" t="str">
        <f>IF($E$5="EN",$13:$13,$12:$12)</f>
        <v>Q4 2025</v>
      </c>
      <c r="U14" s="416" t="str">
        <f>IF($E$5="EN",$13:$13,$12:$12)</f>
        <v>% ch.
Q1/Q4</v>
      </c>
      <c r="V14" s="406"/>
      <c r="W14" s="425" t="str">
        <f>G14</f>
        <v>Q1 2026</v>
      </c>
      <c r="X14" s="425" t="e">
        <f>I14</f>
        <v>#N/A</v>
      </c>
      <c r="Y14" s="406"/>
      <c r="Z14" s="425" t="str">
        <f t="shared" si="0"/>
        <v>Q1 2026</v>
      </c>
      <c r="AA14" s="425" t="str">
        <f t="shared" si="0"/>
        <v>Q1 2025*</v>
      </c>
      <c r="AB14" s="406"/>
      <c r="AC14" s="425" t="str">
        <f>T14</f>
        <v>Q4 2025</v>
      </c>
      <c r="AD14" s="406"/>
      <c r="AE14" s="703" t="str">
        <f t="shared" ref="AE14:AJ14" si="1">IF($E$5="EN",$13:$13,$12:$12)</f>
        <v>MEAN</v>
      </c>
      <c r="AF14" s="704" t="str">
        <f t="shared" si="1"/>
        <v>#</v>
      </c>
      <c r="AG14" s="703" t="str">
        <f t="shared" si="1"/>
        <v>% diff.</v>
      </c>
      <c r="AH14" s="703" t="str">
        <f t="shared" si="1"/>
        <v>Diff 
in €</v>
      </c>
      <c r="AI14" s="705" t="str">
        <f t="shared" si="1"/>
        <v>MAX</v>
      </c>
      <c r="AJ14" s="705" t="str">
        <f t="shared" si="1"/>
        <v>MIN</v>
      </c>
      <c r="AK14" s="406"/>
      <c r="AL14" s="406"/>
      <c r="AM14" s="703" t="str">
        <f>2015+RIGHT(AM$1,2)&amp;"E"</f>
        <v>2026E</v>
      </c>
      <c r="AN14" s="703" t="str">
        <f>2015+RIGHT(AN$1,2)&amp;"E"</f>
        <v>2027E</v>
      </c>
      <c r="AO14" s="703" t="str">
        <f>2015+RIGHT(AO$1,2)&amp;"E"</f>
        <v>2028E</v>
      </c>
      <c r="AP14" s="406"/>
      <c r="AS14" s="386"/>
    </row>
    <row r="15" spans="1:54" ht="6" customHeight="1" x14ac:dyDescent="0.5">
      <c r="A15" s="384"/>
      <c r="B15" s="411"/>
      <c r="C15" s="406"/>
      <c r="D15" s="406"/>
      <c r="E15" s="406"/>
      <c r="F15" s="406"/>
      <c r="G15" s="406"/>
      <c r="H15" s="406"/>
      <c r="I15" s="406"/>
      <c r="J15" s="406"/>
      <c r="K15" s="406"/>
      <c r="L15" s="406"/>
      <c r="M15" s="406"/>
      <c r="N15" s="406"/>
      <c r="O15" s="406"/>
      <c r="P15" s="406"/>
      <c r="Q15" s="406"/>
      <c r="R15" s="406"/>
      <c r="S15" s="406"/>
      <c r="T15" s="406"/>
      <c r="U15" s="406"/>
      <c r="V15" s="406"/>
      <c r="W15" s="406"/>
      <c r="X15" s="406"/>
      <c r="Y15" s="406"/>
      <c r="Z15" s="406"/>
      <c r="AA15" s="406"/>
      <c r="AB15" s="406"/>
      <c r="AC15" s="406"/>
      <c r="AD15" s="406"/>
      <c r="AE15" s="406"/>
      <c r="AF15" s="381"/>
      <c r="AG15" s="406"/>
      <c r="AH15" s="406"/>
      <c r="AI15" s="389"/>
      <c r="AJ15" s="389"/>
      <c r="AK15" s="406"/>
      <c r="AL15" s="406"/>
      <c r="AM15" s="406"/>
      <c r="AN15" s="406"/>
      <c r="AO15" s="406"/>
      <c r="AP15" s="406"/>
      <c r="AS15" s="386"/>
    </row>
    <row r="16" spans="1:54" ht="18" hidden="1" customHeight="1" outlineLevel="1" x14ac:dyDescent="0.5">
      <c r="A16" s="426" t="s">
        <v>22</v>
      </c>
      <c r="B16" s="422"/>
      <c r="C16" s="427" t="s">
        <v>312</v>
      </c>
      <c r="D16" s="427" t="s">
        <v>148</v>
      </c>
      <c r="E16" s="427" t="str">
        <f t="shared" ref="E16:E21" si="2">IF($E$5="EN",$D:$D,$C:$C)</f>
        <v>Net management fees</v>
      </c>
      <c r="F16" s="428"/>
      <c r="G16" s="429">
        <v>781.9321668499997</v>
      </c>
      <c r="H16" s="429">
        <v>736.88998211000001</v>
      </c>
      <c r="I16" s="429" t="s">
        <v>530</v>
      </c>
      <c r="J16" s="430" t="str">
        <f t="shared" ref="J16:J21" si="3">IF(ISERROR($G16*I16),IF($E$5="FR","NS","NM"),IF($G16*I16&gt;0,IF($G16/I16&gt;2,IF($E$5="FR","NS","NM"),$G16/I16-1),IF($E$5="FR","NS","NM")))</f>
        <v>NM</v>
      </c>
      <c r="K16" s="429">
        <v>824.40058980000003</v>
      </c>
      <c r="L16" s="430">
        <f t="shared" ref="L16:L21" si="4">IF(ISERROR(G16*K16),IF($E$5="FR","NS","NM"),IF(G16*K16&gt;0,IF(G16/K16&gt;2,IF($E$5="FR","NS","NM"),G16/K16-1),IF($E$5="FR","NS","NM")))</f>
        <v>-5.1514304423657897E-2</v>
      </c>
      <c r="M16" s="428"/>
      <c r="N16" s="716">
        <v>781.9321668499997</v>
      </c>
      <c r="O16" s="716">
        <v>736.88998211000001</v>
      </c>
      <c r="P16" s="430">
        <f t="shared" ref="P16:P21" si="5">IF(ISERROR($N16*O16),IF($E$5="FR","NS","NM"),IF($N16*O16&gt;0,IF($N16/O16&gt;2,IF($E$5="FR","NS","NM"),$N16/O16-1),IF($E$5="FR","NS","NM")))</f>
        <v>6.1124707668065437E-2</v>
      </c>
      <c r="Q16" s="429">
        <v>824.40058980000003</v>
      </c>
      <c r="R16" s="430">
        <f t="shared" ref="R16:R21" si="6">IF(ISERROR($N16*Q16),IF($E$5="FR","NS","NM"),IF($N16*Q16&gt;0,IF($N16/Q16&gt;2,IF($E$5="FR","NS","NM"),$N16/Q16-1),IF($E$5="FR","NS","NM")))</f>
        <v>-5.1514304423657897E-2</v>
      </c>
      <c r="S16" s="428"/>
      <c r="T16" s="429">
        <v>763.46598908999977</v>
      </c>
      <c r="U16" s="430">
        <f t="shared" ref="U16:U21" si="7">IF(ISERROR($N16*T16),IF($E$5="FR","NS","NM"),IF($N16*T16&gt;0,IF($N16/T16&gt;2,IF($E$5="FR","NS","NM"),$N16/T16-1),IF($E$5="FR","NS","NM")))</f>
        <v>2.4187295863710156E-2</v>
      </c>
      <c r="V16" s="406"/>
      <c r="W16" s="431">
        <v>0</v>
      </c>
      <c r="X16" s="431" t="e">
        <v>#VALUE!</v>
      </c>
      <c r="Y16" s="406"/>
      <c r="Z16" s="431">
        <v>0</v>
      </c>
      <c r="AA16" s="713">
        <v>0</v>
      </c>
      <c r="AB16" s="406"/>
      <c r="AC16" s="431">
        <v>0</v>
      </c>
      <c r="AD16" s="406"/>
      <c r="AE16" s="716">
        <v>766.07710035206321</v>
      </c>
      <c r="AF16" s="432">
        <v>14</v>
      </c>
      <c r="AG16" s="824">
        <f>IF(ISERROR($N16*AE16),IF($E$5="FR","NS","NM"),IF($N16*AE16&gt;0,IF($N16/AE16&gt;2,IF($E$5="FR","NS","NM"),$N16/AE16-1),IF($E$5="FR","NS","NM")))</f>
        <v>2.0696437069650075E-2</v>
      </c>
      <c r="AH16" s="718">
        <f>N16-AE16</f>
        <v>15.855066497936491</v>
      </c>
      <c r="AI16" s="719">
        <v>789.68826030690923</v>
      </c>
      <c r="AJ16" s="719">
        <v>722.5</v>
      </c>
      <c r="AK16" s="406"/>
      <c r="AL16" s="406"/>
      <c r="AM16" s="716">
        <v>3087.4976164641071</v>
      </c>
      <c r="AN16" s="716">
        <v>3157.0610650326676</v>
      </c>
      <c r="AO16" s="716">
        <v>3233.509960054017</v>
      </c>
      <c r="AP16" s="406"/>
      <c r="AR16" s="433" t="str">
        <f t="shared" ref="AR16:AR21" si="8">$A:$A</f>
        <v>Rev_MgtFees</v>
      </c>
      <c r="AS16" s="386"/>
    </row>
    <row r="17" spans="1:45" ht="18" hidden="1" customHeight="1" outlineLevel="1" x14ac:dyDescent="0.5">
      <c r="A17" s="426" t="s">
        <v>23</v>
      </c>
      <c r="B17" s="422"/>
      <c r="C17" s="434" t="s">
        <v>313</v>
      </c>
      <c r="D17" s="434" t="s">
        <v>67</v>
      </c>
      <c r="E17" s="434" t="str">
        <f t="shared" si="2"/>
        <v>Performance fees</v>
      </c>
      <c r="F17" s="428"/>
      <c r="G17" s="435">
        <v>86.56959947</v>
      </c>
      <c r="H17" s="435">
        <v>22.656754370000002</v>
      </c>
      <c r="I17" s="435" t="s">
        <v>530</v>
      </c>
      <c r="J17" s="436" t="str">
        <f t="shared" si="3"/>
        <v>NM</v>
      </c>
      <c r="K17" s="435">
        <v>22.887537139999999</v>
      </c>
      <c r="L17" s="436" t="str">
        <f t="shared" si="4"/>
        <v>NM</v>
      </c>
      <c r="M17" s="428"/>
      <c r="N17" s="717">
        <v>86.56959947</v>
      </c>
      <c r="O17" s="717">
        <v>22.656754370000002</v>
      </c>
      <c r="P17" s="436" t="str">
        <f t="shared" si="5"/>
        <v>NM</v>
      </c>
      <c r="Q17" s="435">
        <v>22.887537139999999</v>
      </c>
      <c r="R17" s="436" t="str">
        <f t="shared" si="6"/>
        <v>NM</v>
      </c>
      <c r="S17" s="428"/>
      <c r="T17" s="435">
        <v>82.27364962</v>
      </c>
      <c r="U17" s="436">
        <f t="shared" si="7"/>
        <v>5.2215379648792082E-2</v>
      </c>
      <c r="V17" s="406"/>
      <c r="W17" s="437">
        <v>0</v>
      </c>
      <c r="X17" s="437" t="e">
        <v>#VALUE!</v>
      </c>
      <c r="Y17" s="406"/>
      <c r="Z17" s="437">
        <v>0</v>
      </c>
      <c r="AA17" s="714">
        <v>0</v>
      </c>
      <c r="AB17" s="406"/>
      <c r="AC17" s="437">
        <v>0</v>
      </c>
      <c r="AD17" s="406"/>
      <c r="AE17" s="717">
        <v>22.965112740895176</v>
      </c>
      <c r="AF17" s="438">
        <v>14</v>
      </c>
      <c r="AG17" s="825" t="str">
        <f>IF(ISERROR($N17*AE17),IF($E$5="FR","NS","NM"),IF($N17*AE17&gt;0,IF($N17/AE17&gt;2,IF($E$5="FR","NS","NM"),$N17/AE17-1),IF($E$5="FR","NS","NM")))</f>
        <v>NM</v>
      </c>
      <c r="AH17" s="720">
        <f>N17-AE17</f>
        <v>63.604486729104821</v>
      </c>
      <c r="AI17" s="721">
        <v>29.900000000000002</v>
      </c>
      <c r="AJ17" s="721">
        <v>16.25</v>
      </c>
      <c r="AK17" s="406"/>
      <c r="AL17" s="406"/>
      <c r="AM17" s="717">
        <v>144.0604591626126</v>
      </c>
      <c r="AN17" s="717">
        <v>149.98466407218959</v>
      </c>
      <c r="AO17" s="717">
        <v>155.57885525480054</v>
      </c>
      <c r="AP17" s="406"/>
      <c r="AR17" s="433" t="str">
        <f t="shared" si="8"/>
        <v>Rev_PerfFees</v>
      </c>
      <c r="AS17" s="386"/>
    </row>
    <row r="18" spans="1:45" ht="18.600000000000001" collapsed="1" thickBot="1" x14ac:dyDescent="0.55000000000000004">
      <c r="A18" s="380" t="s">
        <v>25</v>
      </c>
      <c r="B18" s="422"/>
      <c r="C18" s="439" t="s">
        <v>314</v>
      </c>
      <c r="D18" s="439" t="s">
        <v>69</v>
      </c>
      <c r="E18" s="439" t="str">
        <f t="shared" si="2"/>
        <v>Net asset management revenues</v>
      </c>
      <c r="F18" s="440"/>
      <c r="G18" s="441">
        <f>G16+G17</f>
        <v>868.50176631999966</v>
      </c>
      <c r="H18" s="441">
        <f>H16+H17</f>
        <v>759.54673648000005</v>
      </c>
      <c r="I18" s="441" t="e">
        <f>I16+I17</f>
        <v>#VALUE!</v>
      </c>
      <c r="J18" s="442" t="str">
        <f t="shared" si="3"/>
        <v>NM</v>
      </c>
      <c r="K18" s="441">
        <f>K16+K17</f>
        <v>847.28812693999998</v>
      </c>
      <c r="L18" s="442">
        <f t="shared" si="4"/>
        <v>2.5037102144477297E-2</v>
      </c>
      <c r="M18" s="440"/>
      <c r="N18" s="441">
        <f>N16+N17</f>
        <v>868.50176631999966</v>
      </c>
      <c r="O18" s="441">
        <f>O16+O17</f>
        <v>759.54673648000005</v>
      </c>
      <c r="P18" s="442">
        <f t="shared" si="5"/>
        <v>0.14344743332705834</v>
      </c>
      <c r="Q18" s="441">
        <f>Q16+Q17</f>
        <v>847.28812693999998</v>
      </c>
      <c r="R18" s="442">
        <f t="shared" si="6"/>
        <v>2.5037102144477297E-2</v>
      </c>
      <c r="S18" s="440"/>
      <c r="T18" s="441">
        <f>T16+T17</f>
        <v>845.73963870999978</v>
      </c>
      <c r="U18" s="442">
        <f>IF(ISERROR($N18*T18),IF($E$5="FR","NS","NM"),IF($N18*T18&gt;0,IF($N18/T18&gt;2,IF($E$5="FR","NS","NM"),$N18/T18-1),IF($E$5="FR","NS","NM")))</f>
        <v>2.6913871087701047E-2</v>
      </c>
      <c r="V18" s="406"/>
      <c r="W18" s="443" t="e">
        <v>#VALUE!</v>
      </c>
      <c r="X18" s="443" t="e">
        <v>#VALUE!</v>
      </c>
      <c r="Y18" s="406"/>
      <c r="Z18" s="443">
        <v>0</v>
      </c>
      <c r="AA18" s="443">
        <v>0</v>
      </c>
      <c r="AB18" s="406"/>
      <c r="AC18" s="443">
        <v>0</v>
      </c>
      <c r="AD18" s="406"/>
      <c r="AE18" s="722">
        <v>789.04221309295838</v>
      </c>
      <c r="AF18" s="444">
        <v>14</v>
      </c>
      <c r="AG18" s="442">
        <f>IF(ISERROR($N18*AE18),IF($E$5="FR","NS","NM"),IF($N18*AE18&gt;0,IF($N18/AE18&gt;2,IF($E$5="FR","NS","NM"),$N18/AE18-1),IF($E$5="FR","NS","NM")))</f>
        <v>0.10070380507979237</v>
      </c>
      <c r="AH18" s="723">
        <f>N18-AE18</f>
        <v>79.459553227041283</v>
      </c>
      <c r="AI18" s="724">
        <v>809.68826030690923</v>
      </c>
      <c r="AJ18" s="724">
        <v>751.5</v>
      </c>
      <c r="AK18" s="406"/>
      <c r="AL18" s="406"/>
      <c r="AM18" s="722">
        <v>3231.5580756267195</v>
      </c>
      <c r="AN18" s="722">
        <v>3307.0457291048574</v>
      </c>
      <c r="AO18" s="722">
        <v>3389.0888153088176</v>
      </c>
      <c r="AP18" s="406"/>
      <c r="AR18" s="433" t="str">
        <f t="shared" si="8"/>
        <v>Rev_AM</v>
      </c>
      <c r="AS18" s="386"/>
    </row>
    <row r="19" spans="1:45" ht="18" x14ac:dyDescent="0.5">
      <c r="A19" s="380" t="s">
        <v>27</v>
      </c>
      <c r="B19" s="422"/>
      <c r="C19" s="388" t="s">
        <v>315</v>
      </c>
      <c r="D19" s="388" t="s">
        <v>199</v>
      </c>
      <c r="E19" s="388" t="str">
        <f t="shared" si="2"/>
        <v>Technology</v>
      </c>
      <c r="F19" s="440"/>
      <c r="G19" s="446">
        <v>30.960137049999993</v>
      </c>
      <c r="H19" s="446">
        <v>25.65956640000001</v>
      </c>
      <c r="I19" s="446" t="s">
        <v>530</v>
      </c>
      <c r="J19" s="447" t="str">
        <f t="shared" si="3"/>
        <v>NM</v>
      </c>
      <c r="K19" s="446">
        <v>25.65956640000001</v>
      </c>
      <c r="L19" s="447">
        <f t="shared" si="4"/>
        <v>0.20657288464547019</v>
      </c>
      <c r="M19" s="440"/>
      <c r="N19" s="446">
        <v>30.960137049999993</v>
      </c>
      <c r="O19" s="446">
        <v>25.65956640000001</v>
      </c>
      <c r="P19" s="447">
        <f t="shared" si="5"/>
        <v>0.20657288464547019</v>
      </c>
      <c r="Q19" s="446">
        <v>25.65956640000001</v>
      </c>
      <c r="R19" s="447">
        <f t="shared" si="6"/>
        <v>0.20657288464547019</v>
      </c>
      <c r="S19" s="440"/>
      <c r="T19" s="446">
        <v>35.473510650000009</v>
      </c>
      <c r="U19" s="447">
        <f t="shared" si="7"/>
        <v>-0.12723222250346999</v>
      </c>
      <c r="V19" s="406"/>
      <c r="W19" s="437">
        <v>0</v>
      </c>
      <c r="X19" s="437" t="e">
        <v>#VALUE!</v>
      </c>
      <c r="Y19" s="406"/>
      <c r="Z19" s="448">
        <v>0</v>
      </c>
      <c r="AA19" s="448">
        <v>0</v>
      </c>
      <c r="AB19" s="406"/>
      <c r="AC19" s="448">
        <v>0</v>
      </c>
      <c r="AD19" s="406"/>
      <c r="AE19" s="446">
        <v>33.046726445357145</v>
      </c>
      <c r="AF19" s="449">
        <v>14</v>
      </c>
      <c r="AG19" s="450">
        <f>IF(ISERROR($N19*AE19),IF($E$5="FR","NS","NM"),IF($N19*AE19&gt;0,IF($N19/AE19&gt;2,IF($E$5="FR","NS","NM"),$N19/AE19-1),IF($E$5="FR","NS","NM")))</f>
        <v>-6.3140577594193226E-2</v>
      </c>
      <c r="AH19" s="451">
        <f>N19-AE19</f>
        <v>-2.0865893953571515</v>
      </c>
      <c r="AI19" s="452">
        <v>37</v>
      </c>
      <c r="AJ19" s="452">
        <v>26</v>
      </c>
      <c r="AK19" s="406"/>
      <c r="AL19" s="406"/>
      <c r="AM19" s="446">
        <v>139.27368409796279</v>
      </c>
      <c r="AN19" s="446">
        <v>158.12977516801092</v>
      </c>
      <c r="AO19" s="446">
        <v>179.20770933268176</v>
      </c>
      <c r="AP19" s="406"/>
      <c r="AR19" s="433" t="str">
        <f t="shared" si="8"/>
        <v>Rev_Tech</v>
      </c>
      <c r="AS19" s="386"/>
    </row>
    <row r="20" spans="1:45" ht="18" hidden="1" outlineLevel="2" x14ac:dyDescent="0.5">
      <c r="A20" s="380" t="s">
        <v>28</v>
      </c>
      <c r="B20" s="422"/>
      <c r="C20" s="388" t="s">
        <v>316</v>
      </c>
      <c r="D20" s="388" t="s">
        <v>317</v>
      </c>
      <c r="E20" s="388" t="str">
        <f t="shared" si="2"/>
        <v>Net financial income and other net income</v>
      </c>
      <c r="F20" s="440"/>
      <c r="G20" s="446">
        <v>-85.215214260000025</v>
      </c>
      <c r="H20" s="446">
        <v>17.681286519999983</v>
      </c>
      <c r="I20" s="446" t="s">
        <v>530</v>
      </c>
      <c r="J20" s="447" t="str">
        <f t="shared" si="3"/>
        <v>NM</v>
      </c>
      <c r="K20" s="446">
        <v>19.468334319999983</v>
      </c>
      <c r="L20" s="447" t="str">
        <f t="shared" si="4"/>
        <v>NM</v>
      </c>
      <c r="M20" s="440"/>
      <c r="N20" s="446">
        <v>-85.215214260000025</v>
      </c>
      <c r="O20" s="446">
        <v>17.681286519999983</v>
      </c>
      <c r="P20" s="447" t="str">
        <f t="shared" si="5"/>
        <v>NM</v>
      </c>
      <c r="Q20" s="446">
        <v>19.468334319999983</v>
      </c>
      <c r="R20" s="447" t="str">
        <f t="shared" si="6"/>
        <v>NM</v>
      </c>
      <c r="S20" s="440"/>
      <c r="T20" s="446">
        <v>2.083693689999679</v>
      </c>
      <c r="U20" s="447" t="str">
        <f t="shared" si="7"/>
        <v>NM</v>
      </c>
      <c r="V20" s="406"/>
      <c r="W20" s="448">
        <v>0</v>
      </c>
      <c r="X20" s="448" t="e">
        <v>#VALUE!</v>
      </c>
      <c r="Y20" s="406"/>
      <c r="Z20" s="448">
        <v>0</v>
      </c>
      <c r="AA20" s="448">
        <v>0</v>
      </c>
      <c r="AB20" s="406"/>
      <c r="AC20" s="448">
        <v>0</v>
      </c>
      <c r="AD20" s="406"/>
      <c r="AE20" s="446"/>
      <c r="AF20" s="449"/>
      <c r="AG20" s="447"/>
      <c r="AH20" s="453"/>
      <c r="AI20" s="452"/>
      <c r="AJ20" s="452"/>
      <c r="AK20" s="406"/>
      <c r="AL20" s="406"/>
      <c r="AM20" s="446"/>
      <c r="AN20" s="446"/>
      <c r="AO20" s="446"/>
      <c r="AP20" s="406"/>
      <c r="AR20" s="433" t="str">
        <f t="shared" si="8"/>
        <v>Rev_FinOth</v>
      </c>
      <c r="AS20" s="386"/>
    </row>
    <row r="21" spans="1:45" ht="18.600000000000001" collapsed="1" thickBot="1" x14ac:dyDescent="0.55000000000000004">
      <c r="A21" s="380" t="s">
        <v>29</v>
      </c>
      <c r="B21" s="422"/>
      <c r="C21" s="454" t="s">
        <v>318</v>
      </c>
      <c r="D21" s="454" t="s">
        <v>487</v>
      </c>
      <c r="E21" s="454" t="str">
        <f t="shared" si="2"/>
        <v>Net financial income &amp; others - ajusted</v>
      </c>
      <c r="F21" s="440"/>
      <c r="G21" s="455">
        <v>2.9984333399999672</v>
      </c>
      <c r="H21" s="455">
        <v>37.470589230000009</v>
      </c>
      <c r="I21" s="455" t="s">
        <v>530</v>
      </c>
      <c r="J21" s="456" t="str">
        <f t="shared" si="3"/>
        <v>NM</v>
      </c>
      <c r="K21" s="455">
        <v>39.257637030000005</v>
      </c>
      <c r="L21" s="456">
        <f t="shared" si="4"/>
        <v>-0.9236216551263996</v>
      </c>
      <c r="M21" s="440"/>
      <c r="N21" s="455">
        <v>2.9984333399999672</v>
      </c>
      <c r="O21" s="455">
        <v>37.470589230000009</v>
      </c>
      <c r="P21" s="456">
        <f t="shared" si="5"/>
        <v>-0.91997901816821881</v>
      </c>
      <c r="Q21" s="455">
        <v>39.257637030000005</v>
      </c>
      <c r="R21" s="456">
        <f t="shared" si="6"/>
        <v>-0.9236216551263996</v>
      </c>
      <c r="S21" s="440"/>
      <c r="T21" s="455">
        <v>18.027372289999754</v>
      </c>
      <c r="U21" s="456">
        <f t="shared" si="7"/>
        <v>-0.83367330014794916</v>
      </c>
      <c r="V21" s="406"/>
      <c r="W21" s="457">
        <v>0</v>
      </c>
      <c r="X21" s="457" t="e">
        <v>#VALUE!</v>
      </c>
      <c r="Y21" s="406"/>
      <c r="Z21" s="457">
        <v>0</v>
      </c>
      <c r="AA21" s="457">
        <v>0</v>
      </c>
      <c r="AB21" s="406"/>
      <c r="AC21" s="457">
        <v>0</v>
      </c>
      <c r="AD21" s="406"/>
      <c r="AE21" s="455">
        <v>12.525794925947853</v>
      </c>
      <c r="AF21" s="458">
        <v>14</v>
      </c>
      <c r="AG21" s="456">
        <f>IF(ISERROR($N21*AE21),IF($E$5="FR","NS","NM"),IF($N21*AE21&gt;0,IF($N21/AE21&gt;2,IF($E$5="FR","NS","NM"),$N21/AE21-1),IF($E$5="FR","NS","NM")))</f>
        <v>-0.76061931735856914</v>
      </c>
      <c r="AH21" s="459">
        <f>N21-AE21</f>
        <v>-9.5273615859478866</v>
      </c>
      <c r="AI21" s="460">
        <v>29.25</v>
      </c>
      <c r="AJ21" s="460">
        <v>1.9565570975019497</v>
      </c>
      <c r="AK21" s="406"/>
      <c r="AL21" s="406"/>
      <c r="AM21" s="455">
        <v>42.068029825486221</v>
      </c>
      <c r="AN21" s="455">
        <v>39.667349720752426</v>
      </c>
      <c r="AO21" s="455">
        <v>38.069724857950519</v>
      </c>
      <c r="AP21" s="406"/>
      <c r="AQ21" s="461"/>
      <c r="AR21" s="433" t="str">
        <f t="shared" si="8"/>
        <v>Rev_FinOth_Adj</v>
      </c>
      <c r="AS21" s="386"/>
    </row>
    <row r="22" spans="1:45" ht="6" customHeight="1" thickBot="1" x14ac:dyDescent="0.55000000000000004">
      <c r="A22" s="384"/>
      <c r="B22" s="411"/>
      <c r="C22" s="406"/>
      <c r="D22" s="406"/>
      <c r="E22" s="406"/>
      <c r="F22" s="406"/>
      <c r="G22" s="406"/>
      <c r="H22" s="406"/>
      <c r="I22" s="406"/>
      <c r="J22" s="462"/>
      <c r="K22" s="406"/>
      <c r="L22" s="462"/>
      <c r="M22" s="406"/>
      <c r="N22" s="406"/>
      <c r="O22" s="406"/>
      <c r="P22" s="462"/>
      <c r="Q22" s="406"/>
      <c r="R22" s="462"/>
      <c r="S22" s="406"/>
      <c r="T22" s="406"/>
      <c r="U22" s="462"/>
      <c r="V22" s="406"/>
      <c r="W22" s="406"/>
      <c r="X22" s="406"/>
      <c r="Y22" s="406"/>
      <c r="Z22" s="406"/>
      <c r="AA22" s="406"/>
      <c r="AB22" s="406"/>
      <c r="AC22" s="406"/>
      <c r="AD22" s="406"/>
      <c r="AE22" s="406"/>
      <c r="AF22" s="463"/>
      <c r="AG22" s="462"/>
      <c r="AH22" s="464"/>
      <c r="AI22" s="389"/>
      <c r="AJ22" s="389"/>
      <c r="AK22" s="406"/>
      <c r="AL22" s="406"/>
      <c r="AM22" s="406"/>
      <c r="AN22" s="406"/>
      <c r="AO22" s="406"/>
      <c r="AP22" s="406"/>
      <c r="AS22" s="386"/>
    </row>
    <row r="23" spans="1:45" ht="18.600000000000001" hidden="1" outlineLevel="2" thickBot="1" x14ac:dyDescent="0.55000000000000004">
      <c r="A23" s="380" t="s">
        <v>30</v>
      </c>
      <c r="B23" s="422"/>
      <c r="C23" s="465" t="s">
        <v>319</v>
      </c>
      <c r="D23" s="465" t="s">
        <v>320</v>
      </c>
      <c r="E23" s="465" t="str">
        <f>IF($E$5="EN",$D:$D,$C:$C)</f>
        <v>Net revenue (a)</v>
      </c>
      <c r="F23" s="466"/>
      <c r="G23" s="467">
        <f>G18+G19+G20</f>
        <v>814.24668910999958</v>
      </c>
      <c r="H23" s="467">
        <f>H18+H19+H20</f>
        <v>802.88758940000002</v>
      </c>
      <c r="I23" s="467" t="e">
        <f>I18+I19+I20</f>
        <v>#VALUE!</v>
      </c>
      <c r="J23" s="468" t="str">
        <f>IF(ISERROR($G23*I23),IF($E$5="FR","NS","NM"),IF($G23*I23&gt;0,IF($G23/I23&gt;2,IF($E$5="FR","NS","NM"),$G23/I23-1),IF($E$5="FR","NS","NM")))</f>
        <v>NM</v>
      </c>
      <c r="K23" s="467">
        <f>K18+K19+K20</f>
        <v>892.41602765999994</v>
      </c>
      <c r="L23" s="468">
        <f>IF(ISERROR(G23*K23),IF($E$5="FR","NS","NM"),IF(G23*K23&gt;0,IF(G23/K23&gt;2,IF($E$5="FR","NS","NM"),G23/K23-1),IF($E$5="FR","NS","NM")))</f>
        <v>-8.7592934379459586E-2</v>
      </c>
      <c r="M23" s="466"/>
      <c r="N23" s="467">
        <f>N18+N19+N20</f>
        <v>814.24668910999958</v>
      </c>
      <c r="O23" s="467">
        <f>O18+O19+O20</f>
        <v>802.88758940000002</v>
      </c>
      <c r="P23" s="468">
        <f>IF(ISERROR($N23*O23),IF($E$5="FR","NS","NM"),IF($N23*O23&gt;0,IF($N23/O23&gt;2,IF($E$5="FR","NS","NM"),$N23/O23-1),IF($E$5="FR","NS","NM")))</f>
        <v>1.4147808310859933E-2</v>
      </c>
      <c r="Q23" s="467">
        <f>Q18+Q19+Q20</f>
        <v>892.41602765999994</v>
      </c>
      <c r="R23" s="468">
        <f>IF(ISERROR($N23*Q23),IF($E$5="FR","NS","NM"),IF($N23*Q23&gt;0,IF($N23/Q23&gt;2,IF($E$5="FR","NS","NM"),$N23/Q23-1),IF($E$5="FR","NS","NM")))</f>
        <v>-8.7592934379459586E-2</v>
      </c>
      <c r="S23" s="466"/>
      <c r="T23" s="467">
        <f>T18+T19+T20</f>
        <v>883.29684304999944</v>
      </c>
      <c r="U23" s="468">
        <f>IF(ISERROR($N23*T23),IF($E$5="FR","NS","NM"),IF($N23*T23&gt;0,IF($N23/T23&gt;2,IF($E$5="FR","NS","NM"),$N23/T23-1),IF($E$5="FR","NS","NM")))</f>
        <v>-7.8173214908786037E-2</v>
      </c>
      <c r="V23" s="406"/>
      <c r="W23" s="469">
        <v>0</v>
      </c>
      <c r="X23" s="469" t="e">
        <v>#VALUE!</v>
      </c>
      <c r="Y23" s="406"/>
      <c r="Z23" s="469">
        <v>0</v>
      </c>
      <c r="AA23" s="469">
        <v>0</v>
      </c>
      <c r="AB23" s="406"/>
      <c r="AC23" s="469">
        <v>0</v>
      </c>
      <c r="AD23" s="406"/>
      <c r="AE23" s="467"/>
      <c r="AF23" s="470"/>
      <c r="AG23" s="468"/>
      <c r="AH23" s="471"/>
      <c r="AI23" s="472"/>
      <c r="AJ23" s="472"/>
      <c r="AK23" s="406"/>
      <c r="AL23" s="406"/>
      <c r="AM23" s="467"/>
      <c r="AN23" s="467"/>
      <c r="AO23" s="467"/>
      <c r="AP23" s="406"/>
      <c r="AQ23" s="473"/>
      <c r="AR23" s="473"/>
      <c r="AS23" s="386"/>
    </row>
    <row r="24" spans="1:45" ht="18" hidden="1" outlineLevel="2" collapsed="1" x14ac:dyDescent="0.5">
      <c r="A24" s="380" t="s">
        <v>53</v>
      </c>
      <c r="B24" s="422"/>
      <c r="C24" s="474" t="s">
        <v>321</v>
      </c>
      <c r="D24" s="474" t="s">
        <v>322</v>
      </c>
      <c r="E24" s="474" t="str">
        <f>IF($E$5="EN",$D:$D,$C:$C)</f>
        <v>- Amortisation of intangible assets (bef. Tax)</v>
      </c>
      <c r="F24" s="445"/>
      <c r="G24" s="475">
        <v>-18.376647599999998</v>
      </c>
      <c r="H24" s="475">
        <v>-18.314302480000002</v>
      </c>
      <c r="I24" s="475" t="s">
        <v>530</v>
      </c>
      <c r="J24" s="476" t="str">
        <f>IF(ISERROR($G24*I24),IF($E$5="FR","NS","NM"),IF($G24*I24&gt;0,IF($G24/I24&gt;2,IF($E$5="FR","NS","NM"),$G24/I24-1),IF($E$5="FR","NS","NM")))</f>
        <v>NM</v>
      </c>
      <c r="K24" s="475">
        <v>-18.314302480000002</v>
      </c>
      <c r="L24" s="476">
        <f>IF(ISERROR(G24*K24),IF($E$5="FR","NS","NM"),IF(G24*K24&gt;0,IF(G24/K24&gt;2,IF($E$5="FR","NS","NM"),G24/K24-1),IF($E$5="FR","NS","NM")))</f>
        <v>3.4041766028534148E-3</v>
      </c>
      <c r="M24" s="445"/>
      <c r="N24" s="475">
        <v>-18.376647599999998</v>
      </c>
      <c r="O24" s="475">
        <v>-18.314302480000002</v>
      </c>
      <c r="P24" s="476">
        <f>IF(ISERROR($N24*O24),IF($E$5="FR","NS","NM"),IF($N24*O24&gt;0,IF($N24/O24&gt;2,IF($E$5="FR","NS","NM"),$N24/O24-1),IF($E$5="FR","NS","NM")))</f>
        <v>3.4041766028534148E-3</v>
      </c>
      <c r="Q24" s="475">
        <v>-18.314302480000002</v>
      </c>
      <c r="R24" s="476">
        <f>IF(ISERROR($N24*Q24),IF($E$5="FR","NS","NM"),IF($N24*Q24&gt;0,IF($N24/Q24&gt;2,IF($E$5="FR","NS","NM"),$N24/Q24-1),IF($E$5="FR","NS","NM")))</f>
        <v>3.4041766028534148E-3</v>
      </c>
      <c r="S24" s="445"/>
      <c r="T24" s="475">
        <v>-18.357533929999999</v>
      </c>
      <c r="U24" s="476">
        <f>IF(ISERROR($N24*T24),IF($E$5="FR","NS","NM"),IF($N24*T24&gt;0,IF($N24/T24&gt;2,IF($E$5="FR","NS","NM"),$N24/T24-1),IF($E$5="FR","NS","NM")))</f>
        <v>1.0411894142690059E-3</v>
      </c>
      <c r="V24" s="389"/>
      <c r="W24" s="477">
        <v>0</v>
      </c>
      <c r="X24" s="477" t="e">
        <v>#VALUE!</v>
      </c>
      <c r="Y24" s="389"/>
      <c r="Z24" s="477">
        <v>0</v>
      </c>
      <c r="AA24" s="477">
        <v>0</v>
      </c>
      <c r="AB24" s="389"/>
      <c r="AC24" s="477">
        <v>0</v>
      </c>
      <c r="AD24" s="406"/>
      <c r="AE24" s="478"/>
      <c r="AF24" s="479"/>
      <c r="AG24" s="480"/>
      <c r="AH24" s="481"/>
      <c r="AI24" s="478"/>
      <c r="AJ24" s="478"/>
      <c r="AK24" s="406"/>
      <c r="AL24" s="406"/>
      <c r="AM24" s="478"/>
      <c r="AN24" s="478"/>
      <c r="AO24" s="478"/>
      <c r="AP24" s="406"/>
      <c r="AS24" s="386"/>
    </row>
    <row r="25" spans="1:45" ht="18" hidden="1" outlineLevel="2" x14ac:dyDescent="0.5">
      <c r="A25" s="380" t="s">
        <v>54</v>
      </c>
      <c r="B25" s="422"/>
      <c r="C25" s="474" t="s">
        <v>323</v>
      </c>
      <c r="D25" s="474" t="s">
        <v>324</v>
      </c>
      <c r="E25" s="474" t="str">
        <f>IF($E$5="EN",$D:$D,$C:$C)</f>
        <v>- Other non-cash charges related to Alpha Associates</v>
      </c>
      <c r="F25" s="445"/>
      <c r="G25" s="475">
        <v>-1.55</v>
      </c>
      <c r="H25" s="475">
        <v>-1.47500023</v>
      </c>
      <c r="I25" s="475" t="s">
        <v>530</v>
      </c>
      <c r="J25" s="476" t="str">
        <f>IF(ISERROR($G25*I25),IF($E$5="FR","NS","NM"),IF($G25*I25&gt;0,IF($G25/I25&gt;2,IF($E$5="FR","NS","NM"),$G25/I25-1),IF($E$5="FR","NS","NM")))</f>
        <v>NM</v>
      </c>
      <c r="K25" s="475">
        <v>-1.47500023</v>
      </c>
      <c r="L25" s="476">
        <f>IF(ISERROR(G25*K25),IF($E$5="FR","NS","NM"),IF(G25*K25&gt;0,IF(G25/K25&gt;2,IF($E$5="FR","NS","NM"),G25/K25-1),IF($E$5="FR","NS","NM")))</f>
        <v>5.0847293766184798E-2</v>
      </c>
      <c r="M25" s="445"/>
      <c r="N25" s="475">
        <v>-1.55</v>
      </c>
      <c r="O25" s="475">
        <v>-1.47500023</v>
      </c>
      <c r="P25" s="476">
        <f>IF(ISERROR($N25*O25),IF($E$5="FR","NS","NM"),IF($N25*O25&gt;0,IF($N25/O25&gt;2,IF($E$5="FR","NS","NM"),$N25/O25-1),IF($E$5="FR","NS","NM")))</f>
        <v>5.0847293766184798E-2</v>
      </c>
      <c r="Q25" s="475">
        <v>-1.47500023</v>
      </c>
      <c r="R25" s="476">
        <f>IF(ISERROR($N25*Q25),IF($E$5="FR","NS","NM"),IF($N25*Q25&gt;0,IF($N25/Q25&gt;2,IF($E$5="FR","NS","NM"),$N25/Q25-1),IF($E$5="FR","NS","NM")))</f>
        <v>5.0847293766184798E-2</v>
      </c>
      <c r="S25" s="445"/>
      <c r="T25" s="475">
        <v>-1.4749999999999999</v>
      </c>
      <c r="U25" s="476">
        <f>IF(ISERROR($N25*T25),IF($E$5="FR","NS","NM"),IF($N25*T25&gt;0,IF($N25/T25&gt;2,IF($E$5="FR","NS","NM"),$N25/T25-1),IF($E$5="FR","NS","NM")))</f>
        <v>5.0847457627118731E-2</v>
      </c>
      <c r="V25" s="389"/>
      <c r="W25" s="477">
        <v>0</v>
      </c>
      <c r="X25" s="477" t="e">
        <v>#VALUE!</v>
      </c>
      <c r="Y25" s="389"/>
      <c r="Z25" s="477">
        <v>0</v>
      </c>
      <c r="AA25" s="477">
        <v>0</v>
      </c>
      <c r="AB25" s="389"/>
      <c r="AC25" s="477">
        <v>0</v>
      </c>
      <c r="AD25" s="406"/>
      <c r="AE25" s="478"/>
      <c r="AF25" s="479"/>
      <c r="AG25" s="480"/>
      <c r="AH25" s="481"/>
      <c r="AI25" s="478"/>
      <c r="AJ25" s="478"/>
      <c r="AK25" s="406"/>
      <c r="AL25" s="406"/>
      <c r="AM25" s="478"/>
      <c r="AN25" s="478"/>
      <c r="AO25" s="478"/>
      <c r="AP25" s="406"/>
      <c r="AS25" s="386"/>
    </row>
    <row r="26" spans="1:45" ht="18.600000000000001" hidden="1" outlineLevel="2" thickBot="1" x14ac:dyDescent="0.55000000000000004">
      <c r="A26" s="380" t="s">
        <v>237</v>
      </c>
      <c r="B26" s="422"/>
      <c r="C26" s="474" t="s">
        <v>325</v>
      </c>
      <c r="D26" s="474" t="s">
        <v>326</v>
      </c>
      <c r="E26" s="474" t="str">
        <f>IF($E$5="EN",$D:$D,$C:$C)</f>
        <v>- ICG - MtM valuation</v>
      </c>
      <c r="F26" s="445"/>
      <c r="G26" s="475">
        <v>-68.286999999999992</v>
      </c>
      <c r="H26" s="475">
        <v>0</v>
      </c>
      <c r="I26" s="475" t="s">
        <v>530</v>
      </c>
      <c r="J26" s="476" t="str">
        <f>IF(ISERROR($G26*I26),IF($E$5="FR","NS","NM"),IF($G26*I26&gt;0,IF($G26/I26&gt;2,IF($E$5="FR","NS","NM"),$G26/I26-1),IF($E$5="FR","NS","NM")))</f>
        <v>NM</v>
      </c>
      <c r="K26" s="475">
        <v>0</v>
      </c>
      <c r="L26" s="476" t="str">
        <f>IF(ISERROR(G26*K26),IF($E$5="FR","NS","NM"),IF(G26*K26&gt;0,IF(G26/K26&gt;2,IF($E$5="FR","NS","NM"),G26/K26-1),IF($E$5="FR","NS","NM")))</f>
        <v>NM</v>
      </c>
      <c r="M26" s="445"/>
      <c r="N26" s="475">
        <v>-68.286999999999992</v>
      </c>
      <c r="O26" s="475">
        <v>0</v>
      </c>
      <c r="P26" s="476" t="str">
        <f>IF(ISERROR($N26*O26),IF($E$5="FR","NS","NM"),IF($N26*O26&gt;0,IF($N26/O26&gt;2,IF($E$5="FR","NS","NM"),$N26/O26-1),IF($E$5="FR","NS","NM")))</f>
        <v>NM</v>
      </c>
      <c r="Q26" s="475">
        <v>0</v>
      </c>
      <c r="R26" s="476" t="str">
        <f>IF(ISERROR($N26*Q26),IF($E$5="FR","NS","NM"),IF($N26*Q26&gt;0,IF($N26/Q26&gt;2,IF($E$5="FR","NS","NM"),$N26/Q26-1),IF($E$5="FR","NS","NM")))</f>
        <v>NM</v>
      </c>
      <c r="S26" s="445"/>
      <c r="T26" s="475">
        <v>3.8888553300000002</v>
      </c>
      <c r="U26" s="476" t="str">
        <f>IF(ISERROR($N26*T26),IF($E$5="FR","NS","NM"),IF($N26*T26&gt;0,IF($N26/T26&gt;2,IF($E$5="FR","NS","NM"),$N26/T26-1),IF($E$5="FR","NS","NM")))</f>
        <v>NM</v>
      </c>
      <c r="V26" s="389"/>
      <c r="W26" s="477">
        <v>0</v>
      </c>
      <c r="X26" s="477" t="e">
        <v>#VALUE!</v>
      </c>
      <c r="Y26" s="389"/>
      <c r="Z26" s="477">
        <v>0</v>
      </c>
      <c r="AA26" s="477">
        <v>0</v>
      </c>
      <c r="AB26" s="389"/>
      <c r="AC26" s="477">
        <v>0</v>
      </c>
      <c r="AD26" s="406"/>
      <c r="AE26" s="478"/>
      <c r="AF26" s="479"/>
      <c r="AG26" s="480"/>
      <c r="AH26" s="481"/>
      <c r="AI26" s="478"/>
      <c r="AJ26" s="478"/>
      <c r="AK26" s="406"/>
      <c r="AL26" s="406"/>
      <c r="AM26" s="478"/>
      <c r="AN26" s="478"/>
      <c r="AO26" s="478"/>
      <c r="AP26" s="406"/>
      <c r="AS26" s="386"/>
    </row>
    <row r="27" spans="1:45" ht="18.600000000000001" collapsed="1" thickBot="1" x14ac:dyDescent="0.55000000000000004">
      <c r="A27" s="380" t="s">
        <v>31</v>
      </c>
      <c r="B27" s="422"/>
      <c r="C27" s="482" t="s">
        <v>327</v>
      </c>
      <c r="D27" s="482" t="s">
        <v>488</v>
      </c>
      <c r="E27" s="482" t="str">
        <f>IF($E$5="EN",$D:$D,$C:$C)</f>
        <v>Net revenue - ajusted (b)</v>
      </c>
      <c r="F27" s="466"/>
      <c r="G27" s="483">
        <f>G$23-G$76</f>
        <v>902.46033670999952</v>
      </c>
      <c r="H27" s="483">
        <f>H$23-H$76</f>
        <v>822.67689211000004</v>
      </c>
      <c r="I27" s="483" t="e">
        <f>I$23-I$76</f>
        <v>#VALUE!</v>
      </c>
      <c r="J27" s="484" t="str">
        <f>IF(ISERROR($G27*I27),IF($E$5="FR","NS","NM"),IF($G27*I27&gt;0,IF($G27/I27&gt;2,IF($E$5="FR","NS","NM"),$G27/I27-1),IF($E$5="FR","NS","NM")))</f>
        <v>NM</v>
      </c>
      <c r="K27" s="483">
        <f>K$23-K$76</f>
        <v>912.20533036999996</v>
      </c>
      <c r="L27" s="484">
        <f>IF(ISERROR(G27*K27),IF($E$5="FR","NS","NM"),IF(G27*K27&gt;0,IF(G27/K27&gt;2,IF($E$5="FR","NS","NM"),G27/K27-1),IF($E$5="FR","NS","NM")))</f>
        <v>-1.0682894887325212E-2</v>
      </c>
      <c r="M27" s="466"/>
      <c r="N27" s="483">
        <f>N$23-N$76</f>
        <v>902.46033670999952</v>
      </c>
      <c r="O27" s="483">
        <f>O$23-O$76</f>
        <v>822.67689211000004</v>
      </c>
      <c r="P27" s="484">
        <f>IF(ISERROR($N27*O27),IF($E$5="FR","NS","NM"),IF($N27*O27&gt;0,IF($N27/O27&gt;2,IF($E$5="FR","NS","NM"),$N27/O27-1),IF($E$5="FR","NS","NM")))</f>
        <v>9.6980291248209394E-2</v>
      </c>
      <c r="Q27" s="483">
        <f>Q$23-Q$76</f>
        <v>912.20533036999996</v>
      </c>
      <c r="R27" s="484">
        <f>IF(ISERROR($N27*Q27),IF($E$5="FR","NS","NM"),IF($N27*Q27&gt;0,IF($N27/Q27&gt;2,IF($E$5="FR","NS","NM"),$N27/Q27-1),IF($E$5="FR","NS","NM")))</f>
        <v>-1.0682894887325212E-2</v>
      </c>
      <c r="S27" s="466"/>
      <c r="T27" s="483">
        <f>T$23-T$76</f>
        <v>899.24052164999944</v>
      </c>
      <c r="U27" s="484">
        <f>IF(ISERROR($N27*T27),IF($E$5="FR","NS","NM"),IF($N27*T27&gt;0,IF($N27/T27&gt;2,IF($E$5="FR","NS","NM"),$N27/T27-1),IF($E$5="FR","NS","NM")))</f>
        <v>3.5805938261013193E-3</v>
      </c>
      <c r="V27" s="406"/>
      <c r="W27" s="485">
        <v>0</v>
      </c>
      <c r="X27" s="485" t="e">
        <v>#VALUE!</v>
      </c>
      <c r="Y27" s="406"/>
      <c r="Z27" s="485">
        <v>0</v>
      </c>
      <c r="AA27" s="485">
        <v>0</v>
      </c>
      <c r="AB27" s="406"/>
      <c r="AC27" s="485">
        <v>0</v>
      </c>
      <c r="AD27" s="406"/>
      <c r="AE27" s="483">
        <v>834.61473446426351</v>
      </c>
      <c r="AF27" s="486">
        <v>14</v>
      </c>
      <c r="AG27" s="484">
        <f>IF(ISERROR($N27*AE27),IF($E$5="FR","NS","NM"),IF($N27*AE27&gt;0,IF($N27/AE27&gt;2,IF($E$5="FR","NS","NM"),$N27/AE27-1),IF($E$5="FR","NS","NM")))</f>
        <v>8.1289725000225355E-2</v>
      </c>
      <c r="AH27" s="487">
        <f>N27-AE27</f>
        <v>67.845602245736018</v>
      </c>
      <c r="AI27" s="488">
        <v>859.68826030690923</v>
      </c>
      <c r="AJ27" s="488">
        <v>797.5</v>
      </c>
      <c r="AK27" s="406"/>
      <c r="AL27" s="406"/>
      <c r="AM27" s="483">
        <v>3412.8997895501693</v>
      </c>
      <c r="AN27" s="483">
        <v>3504.8428539936203</v>
      </c>
      <c r="AO27" s="483">
        <v>3606.3662494994496</v>
      </c>
      <c r="AP27" s="406"/>
      <c r="AR27" s="433" t="str">
        <f>$A:$A</f>
        <v>Rev_Adj</v>
      </c>
      <c r="AS27" s="386"/>
    </row>
    <row r="28" spans="1:45" ht="6" customHeight="1" thickBot="1" x14ac:dyDescent="0.55000000000000004">
      <c r="A28" s="384"/>
      <c r="B28" s="411"/>
      <c r="C28" s="406"/>
      <c r="D28" s="406"/>
      <c r="E28" s="406"/>
      <c r="F28" s="406"/>
      <c r="G28" s="406"/>
      <c r="H28" s="406"/>
      <c r="I28" s="406"/>
      <c r="J28" s="462"/>
      <c r="K28" s="406"/>
      <c r="L28" s="462"/>
      <c r="M28" s="406"/>
      <c r="N28" s="406"/>
      <c r="O28" s="406"/>
      <c r="P28" s="462"/>
      <c r="Q28" s="406"/>
      <c r="R28" s="462"/>
      <c r="S28" s="406"/>
      <c r="T28" s="406"/>
      <c r="U28" s="462"/>
      <c r="V28" s="406"/>
      <c r="W28" s="406"/>
      <c r="X28" s="406"/>
      <c r="Y28" s="406"/>
      <c r="Z28" s="406"/>
      <c r="AA28" s="406"/>
      <c r="AB28" s="406"/>
      <c r="AC28" s="406"/>
      <c r="AD28" s="406"/>
      <c r="AE28" s="406"/>
      <c r="AF28" s="463"/>
      <c r="AG28" s="462"/>
      <c r="AH28" s="464"/>
      <c r="AI28" s="389"/>
      <c r="AJ28" s="389"/>
      <c r="AK28" s="406"/>
      <c r="AL28" s="406"/>
      <c r="AM28" s="406"/>
      <c r="AN28" s="406"/>
      <c r="AO28" s="406"/>
      <c r="AP28" s="406"/>
      <c r="AS28" s="386"/>
    </row>
    <row r="29" spans="1:45" ht="18.600000000000001" hidden="1" outlineLevel="2" thickBot="1" x14ac:dyDescent="0.55000000000000004">
      <c r="A29" s="380" t="s">
        <v>35</v>
      </c>
      <c r="B29" s="422"/>
      <c r="C29" s="465" t="s">
        <v>328</v>
      </c>
      <c r="D29" s="465" t="s">
        <v>329</v>
      </c>
      <c r="E29" s="465" t="str">
        <f>IF($E$5="EN",$D:$D,$C:$C)</f>
        <v>Operating expenses (c)</v>
      </c>
      <c r="F29" s="466"/>
      <c r="G29" s="467">
        <v>-457.07635596</v>
      </c>
      <c r="H29" s="467">
        <v>-419.28398838000004</v>
      </c>
      <c r="I29" s="467" t="s">
        <v>530</v>
      </c>
      <c r="J29" s="468" t="str">
        <f>IF(ISERROR($G29*I29),IF($E$5="FR","NS","NM"),IF($G29*I29&gt;0,IF($G29/I29&gt;2,IF($E$5="FR","NS","NM"),$G29/I29-1),IF($E$5="FR","NS","NM")))</f>
        <v>NM</v>
      </c>
      <c r="K29" s="467">
        <v>-486.45540524</v>
      </c>
      <c r="L29" s="468">
        <f>IF(ISERROR(G29*K29),IF($E$5="FR","NS","NM"),IF(G29*K29&gt;0,IF(G29/K29&gt;2,IF($E$5="FR","NS","NM"),G29/K29-1),IF($E$5="FR","NS","NM")))</f>
        <v>-6.0394126498615863E-2</v>
      </c>
      <c r="M29" s="466"/>
      <c r="N29" s="467">
        <v>-457.07635596</v>
      </c>
      <c r="O29" s="467">
        <v>-419.28398838000004</v>
      </c>
      <c r="P29" s="468">
        <f>IF(ISERROR($N29*O29),IF($E$5="FR","NS","NM"),IF($N29*O29&gt;0,IF($N29/O29&gt;2,IF($E$5="FR","NS","NM"),$N29/O29-1),IF($E$5="FR","NS","NM")))</f>
        <v>9.0135489614138198E-2</v>
      </c>
      <c r="Q29" s="467">
        <v>-486.45540524</v>
      </c>
      <c r="R29" s="468">
        <f>IF(ISERROR($N29*Q29),IF($E$5="FR","NS","NM"),IF($N29*Q29&gt;0,IF($N29/Q29&gt;2,IF($E$5="FR","NS","NM"),$N29/Q29-1),IF($E$5="FR","NS","NM")))</f>
        <v>-6.0394126498615863E-2</v>
      </c>
      <c r="S29" s="466"/>
      <c r="T29" s="467">
        <v>-472.14019484999994</v>
      </c>
      <c r="U29" s="468">
        <f>IF(ISERROR($N29*T29),IF($E$5="FR","NS","NM"),IF($N29*T29&gt;0,IF($N29/T29&gt;2,IF($E$5="FR","NS","NM"),$N29/T29-1),IF($E$5="FR","NS","NM")))</f>
        <v>-3.1905436254555219E-2</v>
      </c>
      <c r="V29" s="406"/>
      <c r="W29" s="469">
        <v>0</v>
      </c>
      <c r="X29" s="469" t="e">
        <v>#VALUE!</v>
      </c>
      <c r="Y29" s="406"/>
      <c r="Z29" s="469">
        <v>0</v>
      </c>
      <c r="AA29" s="469">
        <v>0</v>
      </c>
      <c r="AB29" s="406"/>
      <c r="AC29" s="469">
        <v>0</v>
      </c>
      <c r="AD29" s="406"/>
      <c r="AE29" s="467"/>
      <c r="AF29" s="470"/>
      <c r="AG29" s="468"/>
      <c r="AH29" s="471"/>
      <c r="AI29" s="472"/>
      <c r="AJ29" s="472"/>
      <c r="AK29" s="406"/>
      <c r="AL29" s="406"/>
      <c r="AM29" s="467"/>
      <c r="AN29" s="467"/>
      <c r="AO29" s="467"/>
      <c r="AP29" s="406"/>
      <c r="AS29" s="386"/>
    </row>
    <row r="30" spans="1:45" ht="18" hidden="1" outlineLevel="2" x14ac:dyDescent="0.5">
      <c r="A30" s="380" t="s">
        <v>55</v>
      </c>
      <c r="B30" s="422"/>
      <c r="C30" s="474" t="s">
        <v>330</v>
      </c>
      <c r="D30" s="474" t="s">
        <v>501</v>
      </c>
      <c r="E30" s="474" t="str">
        <f>IF($E$5="EN",$D:$D,$C:$C)</f>
        <v>- Integration and restructuring costs (bef. Tax)</v>
      </c>
      <c r="F30" s="445"/>
      <c r="G30" s="475">
        <v>-1.099120794378905E-14</v>
      </c>
      <c r="H30" s="475">
        <v>-3.3586457000000203</v>
      </c>
      <c r="I30" s="475" t="s">
        <v>530</v>
      </c>
      <c r="J30" s="476" t="str">
        <f>IF(ISERROR($G30*I30),IF($E$5="FR","NS","NM"),IF($G30*I30&gt;0,IF($G30/I30&gt;2,IF($E$5="FR","NS","NM"),$G30/I30-1),IF($E$5="FR","NS","NM")))</f>
        <v>NM</v>
      </c>
      <c r="K30" s="475">
        <v>-8.7462640300000203</v>
      </c>
      <c r="L30" s="476">
        <f>IF(ISERROR(G30*K30),IF($E$5="FR","NS","NM"),IF(G30*K30&gt;0,IF(G30/K30&gt;2,IF($E$5="FR","NS","NM"),G30/K30-1),IF($E$5="FR","NS","NM")))</f>
        <v>-0.99999999999999878</v>
      </c>
      <c r="M30" s="445"/>
      <c r="N30" s="475">
        <v>-1.099120794378905E-14</v>
      </c>
      <c r="O30" s="475">
        <v>-3.3586457000000203</v>
      </c>
      <c r="P30" s="476">
        <f>IF(ISERROR($N30*O30),IF($E$5="FR","NS","NM"),IF($N30*O30&gt;0,IF($N30/O30&gt;2,IF($E$5="FR","NS","NM"),$N30/O30-1),IF($E$5="FR","NS","NM")))</f>
        <v>-0.99999999999999678</v>
      </c>
      <c r="Q30" s="475">
        <v>-8.7462640300000203</v>
      </c>
      <c r="R30" s="476">
        <f>IF(ISERROR($N30*Q30),IF($E$5="FR","NS","NM"),IF($N30*Q30&gt;0,IF($N30/Q30&gt;2,IF($E$5="FR","NS","NM"),$N30/Q30-1),IF($E$5="FR","NS","NM")))</f>
        <v>-0.99999999999999878</v>
      </c>
      <c r="S30" s="445"/>
      <c r="T30" s="478">
        <v>-20.221071649999924</v>
      </c>
      <c r="U30" s="476">
        <f>IF(ISERROR($N30*T30),IF($E$5="FR","NS","NM"),IF($N30*T30&gt;0,IF($N30/T30&gt;2,IF($E$5="FR","NS","NM"),$N30/T30-1),IF($E$5="FR","NS","NM")))</f>
        <v>-0.99999999999999944</v>
      </c>
      <c r="V30" s="389"/>
      <c r="W30" s="477">
        <v>0</v>
      </c>
      <c r="X30" s="477" t="e">
        <v>#VALUE!</v>
      </c>
      <c r="Y30" s="389"/>
      <c r="Z30" s="477">
        <v>0</v>
      </c>
      <c r="AA30" s="477">
        <v>0</v>
      </c>
      <c r="AB30" s="389"/>
      <c r="AC30" s="477">
        <v>0</v>
      </c>
      <c r="AD30" s="406"/>
      <c r="AE30" s="478"/>
      <c r="AF30" s="479"/>
      <c r="AG30" s="480"/>
      <c r="AH30" s="481"/>
      <c r="AI30" s="478"/>
      <c r="AJ30" s="478"/>
      <c r="AK30" s="406"/>
      <c r="AL30" s="406"/>
      <c r="AM30" s="478"/>
      <c r="AN30" s="478"/>
      <c r="AO30" s="478"/>
      <c r="AP30" s="406"/>
      <c r="AS30" s="386"/>
    </row>
    <row r="31" spans="1:45" ht="18.600000000000001" hidden="1" outlineLevel="2" thickBot="1" x14ac:dyDescent="0.55000000000000004">
      <c r="A31" s="380" t="s">
        <v>186</v>
      </c>
      <c r="B31" s="422"/>
      <c r="C31" s="474" t="s">
        <v>331</v>
      </c>
      <c r="D31" s="474" t="s">
        <v>332</v>
      </c>
      <c r="E31" s="474" t="str">
        <f>IF($E$5="EN",$D:$D,$C:$C)</f>
        <v>- Amortisation related to aixigo PPA (bef. Tax)</v>
      </c>
      <c r="F31" s="445"/>
      <c r="G31" s="475">
        <v>-1.7879999999999998</v>
      </c>
      <c r="H31" s="475">
        <v>0</v>
      </c>
      <c r="I31" s="475" t="s">
        <v>530</v>
      </c>
      <c r="J31" s="476" t="str">
        <f>IF(ISERROR($G31*I31),IF($E$5="FR","NS","NM"),IF($G31*I31&gt;0,IF($G31/I31&gt;2,IF($E$5="FR","NS","NM"),$G31/I31-1),IF($E$5="FR","NS","NM")))</f>
        <v>NM</v>
      </c>
      <c r="K31" s="475">
        <v>0</v>
      </c>
      <c r="L31" s="476" t="str">
        <f>IF(ISERROR(G31*K31),IF($E$5="FR","NS","NM"),IF(G31*K31&gt;0,IF(G31/K31&gt;2,IF($E$5="FR","NS","NM"),G31/K31-1),IF($E$5="FR","NS","NM")))</f>
        <v>NM</v>
      </c>
      <c r="M31" s="445"/>
      <c r="N31" s="475">
        <v>-1.7879999999999998</v>
      </c>
      <c r="O31" s="475">
        <v>0</v>
      </c>
      <c r="P31" s="476" t="str">
        <f>IF(ISERROR($N31*O31),IF($E$5="FR","NS","NM"),IF($N31*O31&gt;0,IF($N31/O31&gt;2,IF($E$5="FR","NS","NM"),$N31/O31-1),IF($E$5="FR","NS","NM")))</f>
        <v>NM</v>
      </c>
      <c r="Q31" s="475">
        <v>0</v>
      </c>
      <c r="R31" s="476" t="str">
        <f>IF(ISERROR($N31*Q31),IF($E$5="FR","NS","NM"),IF($N31*Q31&gt;0,IF($N31/Q31&gt;2,IF($E$5="FR","NS","NM"),$N31/Q31-1),IF($E$5="FR","NS","NM")))</f>
        <v>NM</v>
      </c>
      <c r="S31" s="445"/>
      <c r="T31" s="478">
        <v>-1.7879999999999998</v>
      </c>
      <c r="U31" s="476">
        <f>IF(ISERROR($N31*T31),IF($E$5="FR","NS","NM"),IF($N31*T31&gt;0,IF($N31/T31&gt;2,IF($E$5="FR","NS","NM"),$N31/T31-1),IF($E$5="FR","NS","NM")))</f>
        <v>0</v>
      </c>
      <c r="V31" s="389"/>
      <c r="W31" s="477">
        <v>0</v>
      </c>
      <c r="X31" s="477" t="e">
        <v>#VALUE!</v>
      </c>
      <c r="Y31" s="389"/>
      <c r="Z31" s="477">
        <v>0</v>
      </c>
      <c r="AA31" s="477">
        <v>0</v>
      </c>
      <c r="AB31" s="389"/>
      <c r="AC31" s="477">
        <v>0</v>
      </c>
      <c r="AD31" s="406"/>
      <c r="AE31" s="478"/>
      <c r="AF31" s="479"/>
      <c r="AG31" s="480"/>
      <c r="AH31" s="481"/>
      <c r="AI31" s="478"/>
      <c r="AJ31" s="478"/>
      <c r="AK31" s="406"/>
      <c r="AL31" s="406"/>
      <c r="AM31" s="478"/>
      <c r="AN31" s="478"/>
      <c r="AO31" s="478"/>
      <c r="AP31" s="406"/>
      <c r="AS31" s="386"/>
    </row>
    <row r="32" spans="1:45" ht="18.600000000000001" collapsed="1" thickBot="1" x14ac:dyDescent="0.55000000000000004">
      <c r="A32" s="380" t="s">
        <v>36</v>
      </c>
      <c r="B32" s="422"/>
      <c r="C32" s="482" t="s">
        <v>333</v>
      </c>
      <c r="D32" s="482" t="s">
        <v>489</v>
      </c>
      <c r="E32" s="482" t="str">
        <f>IF($E$5="EN",$D:$D,$C:$C)</f>
        <v>Operating expenses - ajusted (d)</v>
      </c>
      <c r="F32" s="466"/>
      <c r="G32" s="483">
        <f>G$29-G$77</f>
        <v>-455.28835595999999</v>
      </c>
      <c r="H32" s="483">
        <f>H$29-H$77</f>
        <v>-415.92534268000003</v>
      </c>
      <c r="I32" s="483" t="e">
        <f>I$29-I$77</f>
        <v>#VALUE!</v>
      </c>
      <c r="J32" s="484" t="str">
        <f>IF(ISERROR($G32*I32),IF($E$5="FR","NS","NM"),IF($G32*I32&gt;0,IF($G32/I32&gt;2,IF($E$5="FR","NS","NM"),$G32/I32-1),IF($E$5="FR","NS","NM")))</f>
        <v>NM</v>
      </c>
      <c r="K32" s="483">
        <f>K$29-K$77</f>
        <v>-477.70914120999998</v>
      </c>
      <c r="L32" s="484">
        <f>IF(ISERROR(G32*K32),IF($E$5="FR","NS","NM"),IF(G32*K32&gt;0,IF(G32/K32&gt;2,IF($E$5="FR","NS","NM"),G32/K32-1),IF($E$5="FR","NS","NM")))</f>
        <v>-4.6933967378580799E-2</v>
      </c>
      <c r="M32" s="466"/>
      <c r="N32" s="483">
        <f>N$29-N$77</f>
        <v>-455.28835595999999</v>
      </c>
      <c r="O32" s="483">
        <f>O$29-O$77</f>
        <v>-415.92534268000003</v>
      </c>
      <c r="P32" s="484">
        <f>IF(ISERROR($N32*O32),IF($E$5="FR","NS","NM"),IF($N32*O32&gt;0,IF($N32/O32&gt;2,IF($E$5="FR","NS","NM"),$N32/O32-1),IF($E$5="FR","NS","NM")))</f>
        <v>9.4639612547688934E-2</v>
      </c>
      <c r="Q32" s="483">
        <f>Q$29-Q$77</f>
        <v>-477.70914120999998</v>
      </c>
      <c r="R32" s="484">
        <f>IF(ISERROR($N32*Q32),IF($E$5="FR","NS","NM"),IF($N32*Q32&gt;0,IF($N32/Q32&gt;2,IF($E$5="FR","NS","NM"),$N32/Q32-1),IF($E$5="FR","NS","NM")))</f>
        <v>-4.6933967378580799E-2</v>
      </c>
      <c r="S32" s="466"/>
      <c r="T32" s="483">
        <f>T$29-T$77</f>
        <v>-450.13112320000005</v>
      </c>
      <c r="U32" s="484">
        <f>IF(ISERROR($N32*T32),IF($E$5="FR","NS","NM"),IF($N32*T32&gt;0,IF($N32/T32&gt;2,IF($E$5="FR","NS","NM"),$N32/T32-1),IF($E$5="FR","NS","NM")))</f>
        <v>1.1457178795673872E-2</v>
      </c>
      <c r="V32" s="406"/>
      <c r="W32" s="485">
        <v>0</v>
      </c>
      <c r="X32" s="485" t="e">
        <v>#VALUE!</v>
      </c>
      <c r="Y32" s="406"/>
      <c r="Z32" s="485">
        <v>0</v>
      </c>
      <c r="AA32" s="485">
        <v>0</v>
      </c>
      <c r="AB32" s="406"/>
      <c r="AC32" s="485">
        <v>0</v>
      </c>
      <c r="AD32" s="406"/>
      <c r="AE32" s="483">
        <v>-445.3928625605563</v>
      </c>
      <c r="AF32" s="486">
        <v>14</v>
      </c>
      <c r="AG32" s="484">
        <f>IF(ISERROR($N32*AE32),IF($E$5="FR","NS","NM"),IF($N32*AE32&gt;0,IF($N32/AE32&gt;2,IF($E$5="FR","NS","NM"),$N32/AE32-1),IF($E$5="FR","NS","NM")))</f>
        <v>2.2217449427803349E-2</v>
      </c>
      <c r="AH32" s="487">
        <f>N32-AE32</f>
        <v>-9.8954933994436942</v>
      </c>
      <c r="AI32" s="488">
        <v>-465.43694843104424</v>
      </c>
      <c r="AJ32" s="488">
        <v>-423.3</v>
      </c>
      <c r="AK32" s="406"/>
      <c r="AL32" s="406"/>
      <c r="AM32" s="483">
        <v>-1803.314505194103</v>
      </c>
      <c r="AN32" s="483">
        <v>-1864.8053761471808</v>
      </c>
      <c r="AO32" s="483">
        <v>-1924.7247208993608</v>
      </c>
      <c r="AP32" s="406"/>
      <c r="AQ32" s="461"/>
      <c r="AR32" s="433" t="str">
        <f>$A:$A</f>
        <v>Costs_Adj</v>
      </c>
      <c r="AS32" s="461"/>
    </row>
    <row r="33" spans="1:46" ht="6" customHeight="1" x14ac:dyDescent="0.5">
      <c r="A33" s="384"/>
      <c r="B33" s="411"/>
      <c r="C33" s="406"/>
      <c r="D33" s="406"/>
      <c r="E33" s="406"/>
      <c r="F33" s="406"/>
      <c r="G33" s="406"/>
      <c r="H33" s="406"/>
      <c r="I33" s="406"/>
      <c r="J33" s="462"/>
      <c r="K33" s="406"/>
      <c r="L33" s="462"/>
      <c r="M33" s="406"/>
      <c r="N33" s="406"/>
      <c r="O33" s="406"/>
      <c r="P33" s="462"/>
      <c r="Q33" s="406"/>
      <c r="R33" s="462"/>
      <c r="S33" s="406"/>
      <c r="T33" s="406"/>
      <c r="U33" s="462"/>
      <c r="V33" s="406"/>
      <c r="W33" s="406"/>
      <c r="X33" s="406"/>
      <c r="Y33" s="406"/>
      <c r="Z33" s="406"/>
      <c r="AA33" s="406"/>
      <c r="AB33" s="406"/>
      <c r="AC33" s="406"/>
      <c r="AD33" s="406"/>
      <c r="AE33" s="406"/>
      <c r="AF33" s="463"/>
      <c r="AG33" s="462"/>
      <c r="AH33" s="464"/>
      <c r="AI33" s="389"/>
      <c r="AJ33" s="389"/>
      <c r="AK33" s="406"/>
      <c r="AL33" s="406"/>
      <c r="AM33" s="406"/>
      <c r="AN33" s="406"/>
      <c r="AO33" s="406"/>
      <c r="AP33" s="406"/>
      <c r="AS33" s="386"/>
    </row>
    <row r="34" spans="1:46" ht="18.600000000000001" hidden="1" outlineLevel="3" thickBot="1" x14ac:dyDescent="0.55000000000000004">
      <c r="A34" s="380" t="s">
        <v>38</v>
      </c>
      <c r="B34" s="422"/>
      <c r="C34" s="489" t="s">
        <v>334</v>
      </c>
      <c r="D34" s="489" t="s">
        <v>335</v>
      </c>
      <c r="E34" s="489" t="str">
        <f t="shared" ref="E34:E53" si="9">IF($E$5="EN",$D:$D,$C:$C)</f>
        <v>Gross operating income (e)=(a)+(c)</v>
      </c>
      <c r="F34" s="440"/>
      <c r="G34" s="490">
        <f>G23+G29</f>
        <v>357.17033314999958</v>
      </c>
      <c r="H34" s="490">
        <f>H23+H29</f>
        <v>383.60360101999999</v>
      </c>
      <c r="I34" s="490" t="e">
        <f>I23+I29</f>
        <v>#VALUE!</v>
      </c>
      <c r="J34" s="491" t="str">
        <f>IF(ISERROR($G34*I34),IF($E$5="FR","NS","NM"),IF($G34*I34&gt;0,IF($G34/I34&gt;2,IF($E$5="FR","NS","NM"),$G34/I34-1),IF($E$5="FR","NS","NM")))</f>
        <v>NM</v>
      </c>
      <c r="K34" s="490">
        <f>K23+K29</f>
        <v>405.96062241999994</v>
      </c>
      <c r="L34" s="491">
        <f>IF(ISERROR(G34*K34),IF($E$5="FR","NS","NM"),IF(G34*K34&gt;0,IF(G34/K34&gt;2,IF($E$5="FR","NS","NM"),G34/K34-1),IF($E$5="FR","NS","NM")))</f>
        <v>-0.1201847828963144</v>
      </c>
      <c r="M34" s="440"/>
      <c r="N34" s="490">
        <f>N23+N29</f>
        <v>357.17033314999958</v>
      </c>
      <c r="O34" s="490">
        <f>O23+O29</f>
        <v>383.60360101999999</v>
      </c>
      <c r="P34" s="491">
        <f>IF(ISERROR($N34*O34),IF($E$5="FR","NS","NM"),IF($N34*O34&gt;0,IF($N34/O34&gt;2,IF($E$5="FR","NS","NM"),$N34/O34-1),IF($E$5="FR","NS","NM")))</f>
        <v>-6.8907767809568199E-2</v>
      </c>
      <c r="Q34" s="490">
        <f>Q23+Q29</f>
        <v>405.96062241999994</v>
      </c>
      <c r="R34" s="491">
        <f>IF(ISERROR($N34*Q34),IF($E$5="FR","NS","NM"),IF($N34*Q34&gt;0,IF($N34/Q34&gt;2,IF($E$5="FR","NS","NM"),$N34/Q34-1),IF($E$5="FR","NS","NM")))</f>
        <v>-0.1201847828963144</v>
      </c>
      <c r="S34" s="440"/>
      <c r="T34" s="490">
        <f>T23+T29</f>
        <v>411.15664819999949</v>
      </c>
      <c r="U34" s="491">
        <f>IF(ISERROR($N34*T34),IF($E$5="FR","NS","NM"),IF($N34*T34&gt;0,IF($N34/T34&gt;2,IF($E$5="FR","NS","NM"),$N34/T34-1),IF($E$5="FR","NS","NM")))</f>
        <v>-0.13130351968366882</v>
      </c>
      <c r="V34" s="406"/>
      <c r="W34" s="492">
        <v>0</v>
      </c>
      <c r="X34" s="492" t="e">
        <v>#VALUE!</v>
      </c>
      <c r="Y34" s="406"/>
      <c r="Z34" s="492">
        <v>0</v>
      </c>
      <c r="AA34" s="492">
        <v>0</v>
      </c>
      <c r="AB34" s="406"/>
      <c r="AC34" s="492">
        <v>0</v>
      </c>
      <c r="AD34" s="406"/>
      <c r="AE34" s="490"/>
      <c r="AF34" s="493"/>
      <c r="AG34" s="491"/>
      <c r="AH34" s="494"/>
      <c r="AI34" s="495"/>
      <c r="AJ34" s="495"/>
      <c r="AK34" s="406"/>
      <c r="AL34" s="406"/>
      <c r="AM34" s="490"/>
      <c r="AN34" s="490"/>
      <c r="AO34" s="490"/>
      <c r="AP34" s="406"/>
      <c r="AS34" s="386"/>
    </row>
    <row r="35" spans="1:46" ht="18.600000000000001" collapsed="1" thickBot="1" x14ac:dyDescent="0.55000000000000004">
      <c r="A35" s="380" t="s">
        <v>39</v>
      </c>
      <c r="B35" s="422"/>
      <c r="C35" s="496" t="s">
        <v>336</v>
      </c>
      <c r="D35" s="496" t="s">
        <v>490</v>
      </c>
      <c r="E35" s="496" t="str">
        <f t="shared" si="9"/>
        <v>Gross operating income - ajusted (f)=(b)+(d)</v>
      </c>
      <c r="F35" s="440"/>
      <c r="G35" s="497">
        <f>G$34-G$61-G$62-G$66-G$67-G$63</f>
        <v>447.17198074999959</v>
      </c>
      <c r="H35" s="497">
        <f>H$34-H$61-H$62-H$66-H$67</f>
        <v>406.75154942999995</v>
      </c>
      <c r="I35" s="497" t="e">
        <f>I$34-I$61-I$62-I$66-I$67</f>
        <v>#VALUE!</v>
      </c>
      <c r="J35" s="498" t="str">
        <f>IF(ISERROR($G35*I35),IF($E$5="FR","NS","NM"),IF($G35*I35&gt;0,IF($G35/I35&gt;2,IF($E$5="FR","NS","NM"),$G35/I35-1),IF($E$5="FR","NS","NM")))</f>
        <v>NM</v>
      </c>
      <c r="K35" s="497">
        <f>K$34-K$61-K$62-K$66-K$67</f>
        <v>434.49618915999991</v>
      </c>
      <c r="L35" s="498">
        <f>IF(ISERROR(G35*K35),IF($E$5="FR","NS","NM"),IF(G35*K35&gt;0,IF(G35/K35&gt;2,IF($E$5="FR","NS","NM"),G35/K35-1),IF($E$5="FR","NS","NM")))</f>
        <v>2.9173539161541306E-2</v>
      </c>
      <c r="M35" s="440"/>
      <c r="N35" s="497">
        <f>N$34-N$61-N$62-N$66-N$67-N$63</f>
        <v>447.17198074999959</v>
      </c>
      <c r="O35" s="497">
        <f>O$34-O$61-O$62-O$66-O$67-O$63</f>
        <v>406.75154942999995</v>
      </c>
      <c r="P35" s="498">
        <f>IF(ISERROR($N35*O35),IF($E$5="FR","NS","NM"),IF($N35*O35&gt;0,IF($N35/O35&gt;2,IF($E$5="FR","NS","NM"),$N35/O35-1),IF($E$5="FR","NS","NM")))</f>
        <v>9.9373761148894735E-2</v>
      </c>
      <c r="Q35" s="497">
        <f>Q$34-Q$61-Q$62-Q$66-Q$67</f>
        <v>434.49618915999991</v>
      </c>
      <c r="R35" s="498">
        <f>IF(ISERROR($N35*Q35),IF($E$5="FR","NS","NM"),IF($N35*Q35&gt;0,IF($N35/Q35&gt;2,IF($E$5="FR","NS","NM"),$N35/Q35-1),IF($E$5="FR","NS","NM")))</f>
        <v>2.9173539161541306E-2</v>
      </c>
      <c r="S35" s="440"/>
      <c r="T35" s="497">
        <f>T$34-T$61-T$62-T$66-T$67-T$63</f>
        <v>449.10939844999945</v>
      </c>
      <c r="U35" s="498">
        <f>IF(ISERROR($N35*T35),IF($E$5="FR","NS","NM"),IF($N35*T35&gt;0,IF($N35/T35&gt;2,IF($E$5="FR","NS","NM"),$N35/T35-1),IF($E$5="FR","NS","NM")))</f>
        <v>-4.3139103895095676E-3</v>
      </c>
      <c r="V35" s="406"/>
      <c r="W35" s="499">
        <v>0</v>
      </c>
      <c r="X35" s="499" t="e">
        <v>#VALUE!</v>
      </c>
      <c r="Y35" s="406"/>
      <c r="Z35" s="499">
        <v>0</v>
      </c>
      <c r="AA35" s="499">
        <v>0</v>
      </c>
      <c r="AB35" s="406"/>
      <c r="AC35" s="499">
        <v>0</v>
      </c>
      <c r="AD35" s="406"/>
      <c r="AE35" s="500">
        <v>389.15044333227871</v>
      </c>
      <c r="AF35" s="501">
        <v>14</v>
      </c>
      <c r="AG35" s="502">
        <f>IF(ISERROR($N35*AE35),IF($E$5="FR","NS","NM"),IF($N35*AE35&gt;0,IF($N35/AE35&gt;2,IF($E$5="FR","NS","NM"),$N35/AE35-1),IF($E$5="FR","NS","NM")))</f>
        <v>0.14909796047226598</v>
      </c>
      <c r="AH35" s="503">
        <f>N35-AE35</f>
        <v>58.021537417720879</v>
      </c>
      <c r="AI35" s="504">
        <v>414.27653837500003</v>
      </c>
      <c r="AJ35" s="504">
        <v>351.53799999999995</v>
      </c>
      <c r="AK35" s="406"/>
      <c r="AL35" s="406"/>
      <c r="AM35" s="500">
        <v>1609.5852843560658</v>
      </c>
      <c r="AN35" s="500">
        <v>1639.9660492750113</v>
      </c>
      <c r="AO35" s="500">
        <v>1681.641528600089</v>
      </c>
      <c r="AP35" s="406"/>
      <c r="AR35" s="433" t="str">
        <f>$A:$A</f>
        <v>GOI_Adj</v>
      </c>
      <c r="AS35" s="386"/>
    </row>
    <row r="36" spans="1:46" ht="21" hidden="1" customHeight="1" outlineLevel="2" thickBot="1" x14ac:dyDescent="0.55000000000000004">
      <c r="A36" s="380" t="s">
        <v>215</v>
      </c>
      <c r="B36" s="422"/>
      <c r="C36" s="505" t="s">
        <v>337</v>
      </c>
      <c r="D36" s="505" t="s">
        <v>338</v>
      </c>
      <c r="E36" s="506" t="str">
        <f t="shared" si="9"/>
        <v>Cost / Income ratio (%) -(c)/(a)</v>
      </c>
      <c r="F36" s="445"/>
      <c r="G36" s="507">
        <f>IF(G$23*G$29&lt;0,-G$29/G$23,IF($E$5="FR","NS","NM"))</f>
        <v>0.5613487436585104</v>
      </c>
      <c r="H36" s="507">
        <f>IF(H$23*H$29&lt;0,-H$29/H$23,IF($E$5="FR","NS","NM"))</f>
        <v>0.52222003916305648</v>
      </c>
      <c r="I36" s="507" t="e">
        <f>IF(I$23*I$29&lt;0,-I$29/I$23,IF($E$5="FR","NS","NM"))</f>
        <v>#VALUE!</v>
      </c>
      <c r="J36" s="508" t="str">
        <f>IF(ISERROR($G36*I36),IF($E$5="FR","NS","NM"),IF($G36*I36&gt;0,IF($G36-I36&gt;1,IF($E$5="FR","NS","NM"),($G36-I36)*100),IF($E$5="FR","NS","NM")))</f>
        <v>NM</v>
      </c>
      <c r="K36" s="507">
        <f>IF(K$23*K$29&lt;0,-K$29/K$23,IF($E$5="FR","NS","NM"))</f>
        <v>0.5450993596736855</v>
      </c>
      <c r="L36" s="508">
        <f>IF(ISERROR(G36*K36),IF($E$5="FR","NS","NM"),IF(G36*K36&gt;0,IF(G36-K36&gt;1,IF($E$5="FR","NS","NM"),(G36-K36)*100),IF($E$5="FR","NS","NM")))</f>
        <v>1.6249383984824894</v>
      </c>
      <c r="M36" s="445"/>
      <c r="N36" s="507">
        <f>IF(N$23*N$29&lt;0,-N$29/N$23,IF($E$5="FR","NS","NM"))</f>
        <v>0.5613487436585104</v>
      </c>
      <c r="O36" s="507">
        <f>IF(O$23*O$29&lt;0,-O$29/O$23,IF($E$5="FR","NS","NM"))</f>
        <v>0.52222003916305648</v>
      </c>
      <c r="P36" s="883">
        <f>IF(ISERROR($N36*O36),IF($E$5="FR","NS","NM"),IF($N36*O36&gt;0,IF($N36-O36&gt;1,IF($E$5="FR","NS","NM"),($N36-O36)*100),IF($E$5="FR","NS","NM")))</f>
        <v>3.9128704495453914</v>
      </c>
      <c r="Q36" s="507">
        <f>IF(Q$23*Q$29&lt;0,-Q$29/Q$23,IF($E$5="FR","NS","NM"))</f>
        <v>0.5450993596736855</v>
      </c>
      <c r="R36" s="508">
        <f>IF(ISERROR($N36*Q36),IF($E$5="FR","NS","NM"),IF($N36*Q36&gt;0,IF($N36-Q36&gt;1,IF($E$5="FR","NS","NM"),($N36-Q36)*100),IF($E$5="FR","NS","NM")))</f>
        <v>1.6249383984824894</v>
      </c>
      <c r="S36" s="445"/>
      <c r="T36" s="507">
        <f>IF(T$23*T$29&lt;0,-T$29/T$23,IF($E$5="FR","NS","NM"))</f>
        <v>0.53452041469967559</v>
      </c>
      <c r="U36" s="883">
        <f>IF(ISERROR($N36*T36),IF($E$5="FR","NS","NM"),IF($N36*T36&gt;0,IF($N36-T36&gt;1,IF($E$5="FR","NS","NM"),($N36-T36)*100),IF($E$5="FR","NS","NM")))</f>
        <v>2.6828328958834802</v>
      </c>
      <c r="V36" s="389"/>
      <c r="W36" s="509"/>
      <c r="X36" s="509"/>
      <c r="Y36" s="389"/>
      <c r="Z36" s="400">
        <v>0</v>
      </c>
      <c r="AA36" s="400">
        <v>0</v>
      </c>
      <c r="AB36" s="406"/>
      <c r="AC36" s="400">
        <v>0</v>
      </c>
      <c r="AD36" s="389"/>
      <c r="AE36" s="507"/>
      <c r="AF36" s="510"/>
      <c r="AG36" s="511"/>
      <c r="AH36" s="507"/>
      <c r="AI36" s="507"/>
      <c r="AJ36" s="507"/>
      <c r="AK36" s="389"/>
      <c r="AL36" s="389"/>
      <c r="AM36" s="507"/>
      <c r="AN36" s="507"/>
      <c r="AO36" s="507"/>
      <c r="AP36" s="389"/>
      <c r="AS36" s="386"/>
    </row>
    <row r="37" spans="1:46" ht="21" customHeight="1" collapsed="1" thickBot="1" x14ac:dyDescent="0.55000000000000004">
      <c r="A37" s="380" t="s">
        <v>213</v>
      </c>
      <c r="B37" s="422"/>
      <c r="C37" s="512" t="s">
        <v>339</v>
      </c>
      <c r="D37" s="512" t="s">
        <v>491</v>
      </c>
      <c r="E37" s="513" t="str">
        <f t="shared" si="9"/>
        <v>Cost / Income ratio, ajusted (%) -(d)/(b)</v>
      </c>
      <c r="F37" s="445"/>
      <c r="G37" s="514">
        <f>IF(G$27*G$32&lt;0,-G$32/G$27,IF($E$5="FR","NS","NM"))</f>
        <v>0.50449680439119871</v>
      </c>
      <c r="H37" s="514">
        <f>IF(H$27*H$32&lt;0,-H$32/H$27,IF($E$5="FR","NS","NM"))</f>
        <v>0.50557557489336491</v>
      </c>
      <c r="I37" s="514" t="e">
        <f>IF(I$27*I$32&lt;0,-I$32/I$27,IF($E$5="FR","NS","NM"))</f>
        <v>#VALUE!</v>
      </c>
      <c r="J37" s="515" t="str">
        <f>IF(ISERROR($G37*I37),IF($E$5="FR","NS","NM"),IF($G37*I37&gt;0,IF($G37-I37&gt;1,IF($E$5="FR","NS","NM"),($G37-I37)*100),IF($E$5="FR","NS","NM")))</f>
        <v>NM</v>
      </c>
      <c r="K37" s="514">
        <f>IF(K$27*K$32&lt;0,-K$32/K$27,IF($E$5="FR","NS","NM"))</f>
        <v>0.52368597869981337</v>
      </c>
      <c r="L37" s="515">
        <f>IF(ISERROR(G37*K37),IF($E$5="FR","NS","NM"),IF(G37*K37&gt;0,IF(G37-K37&gt;1,IF($E$5="FR","NS","NM"),(G37-K37)*100),IF($E$5="FR","NS","NM")))</f>
        <v>-1.9189174308614665</v>
      </c>
      <c r="M37" s="445"/>
      <c r="N37" s="514">
        <f>IF(N$27*N$32&lt;0,-N$32/N$27,IF($E$5="FR","NS","NM"))</f>
        <v>0.50449680439119871</v>
      </c>
      <c r="O37" s="514">
        <f>IF(O$27*O$32&lt;0,-O$32/O$27,IF($E$5="FR","NS","NM"))</f>
        <v>0.50557557489336491</v>
      </c>
      <c r="P37" s="515">
        <f>IF(ISERROR($N37*O37),IF($E$5="FR","NS","NM"),IF($N37*O37&gt;0,IF($N37-O37&gt;1,IF($E$5="FR","NS","NM"),($N37-O37)*100),IF($E$5="FR","NS","NM")))</f>
        <v>-0.10787705021662042</v>
      </c>
      <c r="Q37" s="514">
        <f>IF(Q$27*Q$32&lt;0,-Q$32/Q$27,IF($E$5="FR","NS","NM"))</f>
        <v>0.52368597869981337</v>
      </c>
      <c r="R37" s="515">
        <f>IF(ISERROR($N37*Q37),IF($E$5="FR","NS","NM"),IF($N37*Q37&gt;0,IF($N37-Q37&gt;1,IF($E$5="FR","NS","NM"),($N37-Q37)*100),IF($E$5="FR","NS","NM")))</f>
        <v>-1.9189174308614665</v>
      </c>
      <c r="S37" s="445"/>
      <c r="T37" s="514">
        <f>IF(T$27*T$32&lt;0,-T$32/T$27,IF($E$5="FR","NS","NM"))</f>
        <v>0.50056810426432186</v>
      </c>
      <c r="U37" s="884">
        <f>IF(ISERROR($N37*T37),IF($E$5="FR","NS","NM"),IF($N37*T37&gt;0,IF($N37-T37&gt;1,IF($E$5="FR","NS","NM"),($N37-T37)*100),IF($E$5="FR","NS","NM")))</f>
        <v>0.39287001268768496</v>
      </c>
      <c r="V37" s="389"/>
      <c r="W37" s="516">
        <v>0</v>
      </c>
      <c r="X37" s="516" t="e">
        <v>#VALUE!</v>
      </c>
      <c r="Y37" s="389"/>
      <c r="Z37" s="516">
        <v>0</v>
      </c>
      <c r="AA37" s="516">
        <v>0</v>
      </c>
      <c r="AB37" s="389"/>
      <c r="AC37" s="516">
        <v>0</v>
      </c>
      <c r="AD37" s="389"/>
      <c r="AE37" s="514">
        <v>0.53377568585063695</v>
      </c>
      <c r="AF37" s="517">
        <v>14</v>
      </c>
      <c r="AG37" s="518">
        <f>IF(ISERROR($N37*AE37),IF($E$5="FR","NS","NM"),IF($N37*AE37&gt;0,IF($N37-AE37&gt;1,IF($E$5="FR","NS","NM"),($N37-AE37)*100),IF($E$5="FR","NS","NM")))</f>
        <v>-2.9278881459438244</v>
      </c>
      <c r="AH37" s="514"/>
      <c r="AI37" s="514">
        <v>0.55920000000000003</v>
      </c>
      <c r="AJ37" s="514">
        <v>0.50538664898762964</v>
      </c>
      <c r="AK37" s="389"/>
      <c r="AL37" s="389"/>
      <c r="AM37" s="514">
        <v>0.5286363907030992</v>
      </c>
      <c r="AN37" s="514">
        <v>0.53234361308618205</v>
      </c>
      <c r="AO37" s="514">
        <v>0.53432203911930487</v>
      </c>
      <c r="AP37" s="389"/>
      <c r="AR37" s="433" t="s">
        <v>340</v>
      </c>
      <c r="AS37" s="386"/>
    </row>
    <row r="38" spans="1:46" ht="18" hidden="1" outlineLevel="2" x14ac:dyDescent="0.5">
      <c r="A38" s="380" t="s">
        <v>41</v>
      </c>
      <c r="B38" s="422"/>
      <c r="C38" s="520" t="s">
        <v>343</v>
      </c>
      <c r="D38" s="520" t="s">
        <v>344</v>
      </c>
      <c r="E38" s="520" t="str">
        <f t="shared" si="9"/>
        <v>Cost of risk and others (g)</v>
      </c>
      <c r="F38" s="440"/>
      <c r="G38" s="521">
        <v>-3.0518472300000004</v>
      </c>
      <c r="H38" s="521">
        <v>-4.3474707200000005</v>
      </c>
      <c r="I38" s="521" t="s">
        <v>530</v>
      </c>
      <c r="J38" s="522" t="str">
        <f t="shared" ref="J38:J53" si="10">IF(ISERROR($G38*I38),IF($E$5="FR","NS","NM"),IF($G38*I38&gt;0,IF($G38/I38&gt;2,IF($E$5="FR","NS","NM"),$G38/I38-1),IF($E$5="FR","NS","NM")))</f>
        <v>NM</v>
      </c>
      <c r="K38" s="521">
        <v>-4.4232131800000003</v>
      </c>
      <c r="L38" s="522">
        <f t="shared" ref="L38:L53" si="11">IF(ISERROR(G38*K38),IF($E$5="FR","NS","NM"),IF(G38*K38&gt;0,IF(G38/K38&gt;2,IF($E$5="FR","NS","NM"),G38/K38-1),IF($E$5="FR","NS","NM")))</f>
        <v>-0.31003840289696372</v>
      </c>
      <c r="M38" s="440"/>
      <c r="N38" s="521">
        <v>-3.0518472300000004</v>
      </c>
      <c r="O38" s="521">
        <v>-4.3474707200000005</v>
      </c>
      <c r="P38" s="522">
        <f t="shared" ref="P38:P53" si="12">IF(ISERROR($N38*O38),IF($E$5="FR","NS","NM"),IF($N38*O38&gt;0,IF($N38/O38&gt;2,IF($E$5="FR","NS","NM"),$N38/O38-1),IF($E$5="FR","NS","NM")))</f>
        <v>-0.29801776100288491</v>
      </c>
      <c r="Q38" s="521">
        <v>-4.4232131800000003</v>
      </c>
      <c r="R38" s="522">
        <f t="shared" ref="R38:R53" si="13">IF(ISERROR($N38*Q38),IF($E$5="FR","NS","NM"),IF($N38*Q38&gt;0,IF($N38/Q38&gt;2,IF($E$5="FR","NS","NM"),$N38/Q38-1),IF($E$5="FR","NS","NM")))</f>
        <v>-0.31003840289696372</v>
      </c>
      <c r="S38" s="440"/>
      <c r="T38" s="521">
        <v>-1.5431881400000007</v>
      </c>
      <c r="U38" s="523">
        <f t="shared" ref="U38:U53" si="14">IF(ISERROR($N38*T38),IF($E$5="FR","NS","NM"),IF($N38*T38&gt;0,IF($N38/T38&gt;2,IF($E$5="FR","NS","NM"),$N38/T38-1),IF($E$5="FR","NS","NM")))</f>
        <v>0.97762486043989361</v>
      </c>
      <c r="V38" s="406"/>
      <c r="W38" s="400">
        <v>0</v>
      </c>
      <c r="X38" s="400" t="e">
        <v>#VALUE!</v>
      </c>
      <c r="Y38" s="406"/>
      <c r="Z38" s="400">
        <v>0</v>
      </c>
      <c r="AA38" s="400">
        <v>0</v>
      </c>
      <c r="AB38" s="406"/>
      <c r="AC38" s="400">
        <v>0</v>
      </c>
      <c r="AD38" s="406"/>
      <c r="AE38" s="524"/>
      <c r="AF38" s="525"/>
      <c r="AG38" s="526"/>
      <c r="AH38" s="527"/>
      <c r="AI38" s="528"/>
      <c r="AJ38" s="528"/>
      <c r="AK38" s="406"/>
      <c r="AL38" s="406"/>
      <c r="AM38" s="524"/>
      <c r="AN38" s="524"/>
      <c r="AO38" s="524"/>
      <c r="AP38" s="406"/>
      <c r="AR38" s="386" t="str">
        <f>$A:$A</f>
        <v>Prov</v>
      </c>
      <c r="AS38" s="386"/>
      <c r="AT38" s="461"/>
    </row>
    <row r="39" spans="1:46" ht="18.600000000000001" collapsed="1" thickBot="1" x14ac:dyDescent="0.55000000000000004">
      <c r="A39" s="380" t="s">
        <v>221</v>
      </c>
      <c r="B39" s="422"/>
      <c r="C39" s="529" t="s">
        <v>345</v>
      </c>
      <c r="D39" s="529" t="s">
        <v>492</v>
      </c>
      <c r="E39" s="709" t="str">
        <f t="shared" si="9"/>
        <v>Cost of risk and others - ajusted (h)</v>
      </c>
      <c r="F39" s="440"/>
      <c r="G39" s="455">
        <v>-3.0518472300000004</v>
      </c>
      <c r="H39" s="455">
        <v>-4.3474707200000005</v>
      </c>
      <c r="I39" s="455" t="s">
        <v>530</v>
      </c>
      <c r="J39" s="456" t="str">
        <f t="shared" si="10"/>
        <v>NM</v>
      </c>
      <c r="K39" s="455">
        <v>-4.4232131800000003</v>
      </c>
      <c r="L39" s="456">
        <f t="shared" si="11"/>
        <v>-0.31003840289696372</v>
      </c>
      <c r="M39" s="440"/>
      <c r="N39" s="455">
        <v>-3.0518472300000004</v>
      </c>
      <c r="O39" s="455">
        <v>-4.3474707200000005</v>
      </c>
      <c r="P39" s="456">
        <f t="shared" si="12"/>
        <v>-0.29801776100288491</v>
      </c>
      <c r="Q39" s="455">
        <v>-4.4232131800000003</v>
      </c>
      <c r="R39" s="456">
        <f t="shared" si="13"/>
        <v>-0.31003840289696372</v>
      </c>
      <c r="S39" s="440"/>
      <c r="T39" s="455">
        <v>-1.5433921400000006</v>
      </c>
      <c r="U39" s="456">
        <f t="shared" si="14"/>
        <v>0.97736346512688543</v>
      </c>
      <c r="V39" s="406"/>
      <c r="W39" s="530">
        <v>0</v>
      </c>
      <c r="X39" s="530" t="e">
        <v>#VALUE!</v>
      </c>
      <c r="Y39" s="406"/>
      <c r="Z39" s="530">
        <v>0</v>
      </c>
      <c r="AA39" s="530">
        <v>0</v>
      </c>
      <c r="AB39" s="406"/>
      <c r="AC39" s="530">
        <v>0</v>
      </c>
      <c r="AD39" s="406"/>
      <c r="AE39" s="455">
        <v>-2.077385152857143</v>
      </c>
      <c r="AF39" s="458">
        <v>14</v>
      </c>
      <c r="AG39" s="456">
        <f>IF(ISERROR($N39*AE39),IF($E$5="FR","NS","NM"),IF($N39*AE39&gt;0,IF($N39/AE39&gt;2,IF($E$5="FR","NS","NM"),$N39/AE39-1),IF($E$5="FR","NS","NM")))</f>
        <v>0.46908108291937367</v>
      </c>
      <c r="AH39" s="459">
        <f>N39-AE39</f>
        <v>-0.97446207714285737</v>
      </c>
      <c r="AI39" s="460">
        <v>-4</v>
      </c>
      <c r="AJ39" s="460">
        <v>0</v>
      </c>
      <c r="AK39" s="406"/>
      <c r="AL39" s="406"/>
      <c r="AM39" s="455">
        <v>-7.8986892057142857</v>
      </c>
      <c r="AN39" s="455">
        <v>-7.9481960787307928</v>
      </c>
      <c r="AO39" s="455">
        <v>-8.001783910224896</v>
      </c>
      <c r="AP39" s="406"/>
      <c r="AR39" s="433" t="str">
        <f>$A:$A</f>
        <v>Prov_Adj</v>
      </c>
      <c r="AS39" s="386"/>
    </row>
    <row r="40" spans="1:46" ht="18" hidden="1" outlineLevel="1" x14ac:dyDescent="0.5">
      <c r="A40" s="625" t="s">
        <v>427</v>
      </c>
      <c r="B40" s="422"/>
      <c r="C40" s="532" t="s">
        <v>512</v>
      </c>
      <c r="D40" s="532" t="s">
        <v>513</v>
      </c>
      <c r="E40" s="388" t="str">
        <f t="shared" si="9"/>
        <v>Share of net income from Associates (i)</v>
      </c>
      <c r="F40" s="440"/>
      <c r="G40" s="446"/>
      <c r="H40" s="446"/>
      <c r="I40" s="446"/>
      <c r="J40" s="447"/>
      <c r="K40" s="446"/>
      <c r="L40" s="447"/>
      <c r="M40" s="440"/>
      <c r="N40" s="446">
        <v>143.95979205999998</v>
      </c>
      <c r="O40" s="446">
        <v>45.262883389999999</v>
      </c>
      <c r="P40" s="447" t="str">
        <f t="shared" si="12"/>
        <v>NM</v>
      </c>
      <c r="Q40" s="446"/>
      <c r="R40" s="447"/>
      <c r="S40" s="440"/>
      <c r="T40" s="446">
        <v>64.348960579999996</v>
      </c>
      <c r="U40" s="447" t="str">
        <f t="shared" si="14"/>
        <v>NM</v>
      </c>
      <c r="V40" s="406"/>
      <c r="W40" s="448"/>
      <c r="X40" s="448"/>
      <c r="Y40" s="406"/>
      <c r="Z40" s="400">
        <v>0</v>
      </c>
      <c r="AA40" s="400">
        <v>0</v>
      </c>
      <c r="AB40" s="406"/>
      <c r="AC40" s="400">
        <v>0</v>
      </c>
      <c r="AD40" s="406"/>
      <c r="AE40" s="446">
        <v>72.091666007349048</v>
      </c>
      <c r="AF40" s="449">
        <v>14</v>
      </c>
      <c r="AG40" s="450">
        <f>IF(ISERROR($N40*AE40),IF($E$5="FR","NS","NM"),IF($N40*AE40&gt;0,IF($N40/AE40&gt;2,IF($E$5="FR","NS","NM"),$N40/AE40-1),IF($E$5="FR","NS","NM")))</f>
        <v>0.99689922612309556</v>
      </c>
      <c r="AH40" s="451">
        <f>N40-AE40</f>
        <v>71.868126052650936</v>
      </c>
      <c r="AI40" s="452">
        <v>81.013326629785979</v>
      </c>
      <c r="AJ40" s="452">
        <v>63.048652775000001</v>
      </c>
      <c r="AK40" s="406"/>
      <c r="AL40" s="406"/>
      <c r="AM40" s="446">
        <v>289.3163822163562</v>
      </c>
      <c r="AN40" s="446">
        <v>334.24478945210433</v>
      </c>
      <c r="AO40" s="446">
        <v>361.56576246075872</v>
      </c>
      <c r="AP40" s="406"/>
      <c r="AR40" s="433" t="s">
        <v>42</v>
      </c>
      <c r="AS40" s="386"/>
    </row>
    <row r="41" spans="1:46" ht="18.600000000000001" collapsed="1" thickBot="1" x14ac:dyDescent="0.55000000000000004">
      <c r="A41" s="625" t="s">
        <v>428</v>
      </c>
      <c r="B41" s="422"/>
      <c r="C41" s="529" t="s">
        <v>514</v>
      </c>
      <c r="D41" s="529" t="s">
        <v>515</v>
      </c>
      <c r="E41" s="886" t="str">
        <f t="shared" si="9"/>
        <v>Share of net income from Associates - Adjusted (j)</v>
      </c>
      <c r="F41" s="440"/>
      <c r="G41" s="707"/>
      <c r="H41" s="707"/>
      <c r="I41" s="707"/>
      <c r="J41" s="708"/>
      <c r="K41" s="707"/>
      <c r="L41" s="708"/>
      <c r="M41" s="440"/>
      <c r="N41" s="707">
        <v>65.743176800000001</v>
      </c>
      <c r="O41" s="707">
        <v>49.357473239999997</v>
      </c>
      <c r="P41" s="708">
        <f t="shared" si="12"/>
        <v>0.33198019437349968</v>
      </c>
      <c r="Q41" s="707"/>
      <c r="R41" s="708"/>
      <c r="S41" s="440"/>
      <c r="T41" s="707">
        <v>71.07068731999999</v>
      </c>
      <c r="U41" s="708">
        <f t="shared" si="14"/>
        <v>-7.4960728830615553E-2</v>
      </c>
      <c r="V41" s="406"/>
      <c r="W41" s="709"/>
      <c r="X41" s="709"/>
      <c r="Y41" s="406"/>
      <c r="Z41" s="400">
        <v>0</v>
      </c>
      <c r="AA41" s="400">
        <v>0</v>
      </c>
      <c r="AB41" s="406"/>
      <c r="AC41" s="400">
        <v>0</v>
      </c>
      <c r="AD41" s="710"/>
      <c r="AE41" s="709"/>
      <c r="AF41" s="709"/>
      <c r="AG41" s="709"/>
      <c r="AH41" s="709"/>
      <c r="AI41" s="709"/>
      <c r="AJ41" s="709"/>
      <c r="AK41" s="406"/>
      <c r="AL41" s="406"/>
      <c r="AM41" s="709"/>
      <c r="AN41" s="709"/>
      <c r="AO41" s="709"/>
      <c r="AP41" s="406"/>
      <c r="AR41" s="433"/>
      <c r="AS41" s="386"/>
    </row>
    <row r="42" spans="1:46" ht="18.600000000000001" thickBot="1" x14ac:dyDescent="0.55000000000000004">
      <c r="A42" s="380" t="s">
        <v>429</v>
      </c>
      <c r="B42" s="422"/>
      <c r="C42" s="531" t="s">
        <v>507</v>
      </c>
      <c r="D42" s="531" t="s">
        <v>503</v>
      </c>
      <c r="E42" s="893" t="str">
        <f t="shared" si="9"/>
        <v>Associates - JVs</v>
      </c>
      <c r="F42" s="888"/>
      <c r="G42" s="446">
        <v>28.65396037</v>
      </c>
      <c r="H42" s="446">
        <v>27.523162749999997</v>
      </c>
      <c r="I42" s="446" t="s">
        <v>530</v>
      </c>
      <c r="J42" s="447" t="str">
        <f t="shared" si="10"/>
        <v>NM</v>
      </c>
      <c r="K42" s="446">
        <v>27.523162749999997</v>
      </c>
      <c r="L42" s="447">
        <f t="shared" si="11"/>
        <v>4.1085308046583613E-2</v>
      </c>
      <c r="M42" s="888"/>
      <c r="N42" s="446">
        <v>28.65396037</v>
      </c>
      <c r="O42" s="446">
        <v>27.523162749999997</v>
      </c>
      <c r="P42" s="447">
        <f t="shared" si="12"/>
        <v>4.1085308046583613E-2</v>
      </c>
      <c r="Q42" s="446">
        <v>27.523162749999997</v>
      </c>
      <c r="R42" s="447">
        <f t="shared" si="13"/>
        <v>4.1085308046583613E-2</v>
      </c>
      <c r="S42" s="888"/>
      <c r="T42" s="446">
        <v>35.80300231999999</v>
      </c>
      <c r="U42" s="447">
        <f t="shared" si="14"/>
        <v>-0.19967716355470133</v>
      </c>
      <c r="V42" s="406"/>
      <c r="W42" s="400">
        <v>0</v>
      </c>
      <c r="X42" s="400" t="e">
        <v>#VALUE!</v>
      </c>
      <c r="Y42" s="406"/>
      <c r="Z42" s="400">
        <v>0</v>
      </c>
      <c r="AA42" s="400">
        <v>0</v>
      </c>
      <c r="AB42" s="406"/>
      <c r="AC42" s="400">
        <v>0</v>
      </c>
      <c r="AD42" s="406"/>
      <c r="AE42" s="446">
        <v>36.026668502830503</v>
      </c>
      <c r="AF42" s="449">
        <v>14</v>
      </c>
      <c r="AG42" s="450">
        <f>IF(ISERROR($N42*AE42),IF($E$5="FR","NS","NM"),IF($N42*AE42&gt;0,IF($N42/AE42&gt;2,IF($E$5="FR","NS","NM"),$N42/AE42-1),IF($E$5="FR","NS","NM")))</f>
        <v>-0.20464584817914133</v>
      </c>
      <c r="AH42" s="451">
        <f>N42-AE42</f>
        <v>-7.3727081328305033</v>
      </c>
      <c r="AI42" s="452">
        <v>45</v>
      </c>
      <c r="AJ42" s="452">
        <v>30.58</v>
      </c>
      <c r="AK42" s="406"/>
      <c r="AL42" s="406"/>
      <c r="AM42" s="446">
        <v>138.00939336182549</v>
      </c>
      <c r="AN42" s="446">
        <v>147.00335248975756</v>
      </c>
      <c r="AO42" s="446">
        <v>159.0440555617138</v>
      </c>
      <c r="AP42" s="406"/>
      <c r="AR42" s="433" t="str">
        <f>$A:$A</f>
        <v>MeQ_JV</v>
      </c>
      <c r="AS42" s="386"/>
    </row>
    <row r="43" spans="1:46" ht="18.600000000000001" hidden="1" outlineLevel="2" thickBot="1" x14ac:dyDescent="0.55000000000000004">
      <c r="A43" s="380" t="s">
        <v>455</v>
      </c>
      <c r="B43" s="422"/>
      <c r="C43" s="531" t="s">
        <v>508</v>
      </c>
      <c r="D43" s="531" t="s">
        <v>509</v>
      </c>
      <c r="E43" s="893" t="str">
        <f t="shared" si="9"/>
        <v>Associates - Victory Capital</v>
      </c>
      <c r="F43" s="888"/>
      <c r="G43" s="446">
        <v>30.577416020000001</v>
      </c>
      <c r="H43" s="446">
        <v>17.737972640000002</v>
      </c>
      <c r="I43" s="446" t="s">
        <v>530</v>
      </c>
      <c r="J43" s="447" t="str">
        <f t="shared" si="10"/>
        <v>NM</v>
      </c>
      <c r="K43" s="446">
        <v>0</v>
      </c>
      <c r="L43" s="447" t="str">
        <f t="shared" si="11"/>
        <v>NM</v>
      </c>
      <c r="M43" s="888"/>
      <c r="N43" s="446">
        <v>30.577416020000001</v>
      </c>
      <c r="O43" s="446">
        <v>17.737972640000002</v>
      </c>
      <c r="P43" s="447">
        <f t="shared" si="12"/>
        <v>0.72383939475960291</v>
      </c>
      <c r="Q43" s="446">
        <v>0</v>
      </c>
      <c r="R43" s="447" t="str">
        <f t="shared" si="13"/>
        <v>NM</v>
      </c>
      <c r="S43" s="888"/>
      <c r="T43" s="446">
        <v>28.522780259999998</v>
      </c>
      <c r="U43" s="447">
        <f t="shared" si="14"/>
        <v>7.2034904776846043E-2</v>
      </c>
      <c r="V43" s="406"/>
      <c r="W43" s="400">
        <v>0</v>
      </c>
      <c r="X43" s="400" t="e">
        <v>#VALUE!</v>
      </c>
      <c r="Y43" s="406"/>
      <c r="Z43" s="400">
        <v>0</v>
      </c>
      <c r="AA43" s="400">
        <v>0</v>
      </c>
      <c r="AB43" s="406"/>
      <c r="AC43" s="400">
        <v>0</v>
      </c>
      <c r="AD43" s="406"/>
      <c r="AE43" s="533"/>
      <c r="AF43" s="479"/>
      <c r="AG43" s="534"/>
      <c r="AH43" s="535"/>
      <c r="AI43" s="478"/>
      <c r="AJ43" s="478"/>
      <c r="AK43" s="406"/>
      <c r="AL43" s="406"/>
      <c r="AM43" s="533"/>
      <c r="AN43" s="533"/>
      <c r="AO43" s="533"/>
      <c r="AP43" s="406"/>
      <c r="AR43" s="433"/>
      <c r="AS43" s="386"/>
    </row>
    <row r="44" spans="1:46" ht="18.600000000000001" collapsed="1" thickBot="1" x14ac:dyDescent="0.55000000000000004">
      <c r="A44" s="380" t="s">
        <v>452</v>
      </c>
      <c r="B44" s="422"/>
      <c r="C44" s="889" t="s">
        <v>510</v>
      </c>
      <c r="D44" s="889" t="s">
        <v>511</v>
      </c>
      <c r="E44" s="894" t="str">
        <f t="shared" si="9"/>
        <v>Associates - Victory Capital - ajusted</v>
      </c>
      <c r="F44" s="888"/>
      <c r="G44" s="707">
        <v>37.088665210000002</v>
      </c>
      <c r="H44" s="707">
        <v>21.832562490000001</v>
      </c>
      <c r="I44" s="707" t="s">
        <v>530</v>
      </c>
      <c r="J44" s="708" t="str">
        <f t="shared" si="10"/>
        <v>NM</v>
      </c>
      <c r="K44" s="707">
        <v>0</v>
      </c>
      <c r="L44" s="708" t="str">
        <f t="shared" si="11"/>
        <v>NM</v>
      </c>
      <c r="M44" s="888"/>
      <c r="N44" s="707">
        <v>37.088665210000002</v>
      </c>
      <c r="O44" s="707">
        <v>21.832562490000001</v>
      </c>
      <c r="P44" s="708">
        <f t="shared" si="12"/>
        <v>0.69877746723444734</v>
      </c>
      <c r="Q44" s="707">
        <v>0</v>
      </c>
      <c r="R44" s="708" t="str">
        <f t="shared" si="13"/>
        <v>NM</v>
      </c>
      <c r="S44" s="888"/>
      <c r="T44" s="707">
        <v>35.244506999999999</v>
      </c>
      <c r="U44" s="708">
        <f t="shared" si="14"/>
        <v>5.2324698711206263E-2</v>
      </c>
      <c r="V44" s="406"/>
      <c r="W44" s="469">
        <v>0</v>
      </c>
      <c r="X44" s="469" t="e">
        <v>#VALUE!</v>
      </c>
      <c r="Y44" s="406"/>
      <c r="Z44" s="469">
        <v>0</v>
      </c>
      <c r="AA44" s="469">
        <v>0</v>
      </c>
      <c r="AB44" s="406"/>
      <c r="AC44" s="469">
        <v>0</v>
      </c>
      <c r="AD44" s="406"/>
      <c r="AE44" s="537">
        <v>35.584171495248093</v>
      </c>
      <c r="AF44" s="539">
        <v>14</v>
      </c>
      <c r="AG44" s="538">
        <f>IF(ISERROR($N44*AE44),IF($E$5="FR","NS","NM"),IF($N44*AE44&gt;0,IF($N44/AE44&gt;2,IF($E$5="FR","NS","NM"),$N44/AE44-1),IF($E$5="FR","NS","NM")))</f>
        <v>4.2279857912465912E-2</v>
      </c>
      <c r="AH44" s="540">
        <f>N44-AE44</f>
        <v>1.5044937147519093</v>
      </c>
      <c r="AI44" s="541">
        <v>37.183223856359817</v>
      </c>
      <c r="AJ44" s="541">
        <v>27.145375894124744</v>
      </c>
      <c r="AK44" s="406"/>
      <c r="AL44" s="406"/>
      <c r="AM44" s="537">
        <v>133.44944610910724</v>
      </c>
      <c r="AN44" s="537">
        <v>141.61949164377444</v>
      </c>
      <c r="AO44" s="537">
        <v>150.54299664784088</v>
      </c>
      <c r="AP44" s="406"/>
      <c r="AR44" s="892" t="s">
        <v>202</v>
      </c>
      <c r="AS44" s="386"/>
    </row>
    <row r="45" spans="1:46" customFormat="1" ht="18.600000000000001" hidden="1" outlineLevel="1" thickBot="1" x14ac:dyDescent="0.55000000000000004">
      <c r="A45" s="380" t="s">
        <v>430</v>
      </c>
      <c r="B45" s="711"/>
      <c r="C45" s="887" t="s">
        <v>431</v>
      </c>
      <c r="D45" s="887" t="s">
        <v>482</v>
      </c>
      <c r="E45" s="893" t="str">
        <f t="shared" si="9"/>
        <v>Associates - ICG</v>
      </c>
      <c r="F45" s="888"/>
      <c r="G45" s="446">
        <v>84.727864449999998</v>
      </c>
      <c r="H45" s="446"/>
      <c r="I45" s="446"/>
      <c r="J45" s="447" t="str">
        <f t="shared" si="10"/>
        <v>NM</v>
      </c>
      <c r="K45" s="446"/>
      <c r="L45" s="447" t="str">
        <f t="shared" si="11"/>
        <v>NM</v>
      </c>
      <c r="M45" s="888"/>
      <c r="N45" s="446">
        <v>84.727864449999998</v>
      </c>
      <c r="O45" s="446"/>
      <c r="P45" s="447" t="str">
        <f t="shared" si="12"/>
        <v>NM</v>
      </c>
      <c r="Q45" s="446"/>
      <c r="R45" s="447" t="str">
        <f t="shared" si="13"/>
        <v>NM</v>
      </c>
      <c r="S45" s="888"/>
      <c r="T45" s="446"/>
      <c r="U45" s="447" t="str">
        <f t="shared" si="14"/>
        <v>NM</v>
      </c>
      <c r="V45" s="712"/>
      <c r="W45" s="400">
        <v>0</v>
      </c>
      <c r="X45" s="400">
        <v>0</v>
      </c>
      <c r="Y45" s="712"/>
      <c r="Z45" s="400">
        <v>0</v>
      </c>
      <c r="AA45" s="400">
        <v>0</v>
      </c>
      <c r="AB45" s="712"/>
      <c r="AC45" s="400">
        <v>0</v>
      </c>
      <c r="AD45" s="712"/>
      <c r="AE45" s="533"/>
      <c r="AF45" s="479"/>
      <c r="AG45" s="534"/>
      <c r="AH45" s="535"/>
      <c r="AI45" s="478"/>
      <c r="AJ45" s="478"/>
      <c r="AK45" s="712"/>
      <c r="AL45" s="712"/>
      <c r="AM45" s="533"/>
      <c r="AN45" s="533"/>
      <c r="AO45" s="533"/>
      <c r="AP45" s="446"/>
      <c r="AR45" s="433"/>
    </row>
    <row r="46" spans="1:46" customFormat="1" ht="18.600000000000001" hidden="1" outlineLevel="1" thickBot="1" x14ac:dyDescent="0.55000000000000004">
      <c r="A46" s="380" t="s">
        <v>432</v>
      </c>
      <c r="B46" s="711"/>
      <c r="C46" s="454" t="s">
        <v>433</v>
      </c>
      <c r="D46" s="454" t="s">
        <v>493</v>
      </c>
      <c r="E46" s="895" t="str">
        <f t="shared" si="9"/>
        <v>Associates - ICG - ajusted</v>
      </c>
      <c r="F46" s="440"/>
      <c r="G46" s="455">
        <v>0</v>
      </c>
      <c r="H46" s="455"/>
      <c r="I46" s="455"/>
      <c r="J46" s="456" t="str">
        <f t="shared" si="10"/>
        <v>NM</v>
      </c>
      <c r="K46" s="455"/>
      <c r="L46" s="456" t="str">
        <f t="shared" si="11"/>
        <v>NM</v>
      </c>
      <c r="M46" s="440"/>
      <c r="N46" s="455">
        <v>0</v>
      </c>
      <c r="O46" s="455"/>
      <c r="P46" s="456" t="str">
        <f t="shared" si="12"/>
        <v>NM</v>
      </c>
      <c r="Q46" s="455"/>
      <c r="R46" s="456" t="str">
        <f t="shared" si="13"/>
        <v>NM</v>
      </c>
      <c r="S46" s="440"/>
      <c r="T46" s="455"/>
      <c r="U46" s="456" t="str">
        <f t="shared" si="14"/>
        <v>NM</v>
      </c>
      <c r="V46" s="712"/>
      <c r="W46" s="469">
        <v>0</v>
      </c>
      <c r="X46" s="469">
        <v>0</v>
      </c>
      <c r="Y46" s="712"/>
      <c r="Z46" s="469">
        <v>0</v>
      </c>
      <c r="AA46" s="469">
        <v>0</v>
      </c>
      <c r="AB46" s="712"/>
      <c r="AC46" s="469">
        <v>0</v>
      </c>
      <c r="AD46" s="712"/>
      <c r="AE46" s="537">
        <v>0.51781262536815265</v>
      </c>
      <c r="AF46" s="539">
        <v>13</v>
      </c>
      <c r="AG46" s="538" t="str">
        <f>IF(ISERROR($N46*AE46),IF($E$5="FR","NS","NM"),IF($N46*AE46&gt;0,IF($N46/AE46&gt;2,IF($E$5="FR","NS","NM"),$N46/AE46-1),IF($E$5="FR","NS","NM")))</f>
        <v>NM</v>
      </c>
      <c r="AH46" s="540">
        <f>N46-AE46</f>
        <v>-0.51781262536815265</v>
      </c>
      <c r="AI46" s="541">
        <v>6.7315641297859843</v>
      </c>
      <c r="AJ46" s="541">
        <v>0</v>
      </c>
      <c r="AK46" s="712"/>
      <c r="AL46" s="712"/>
      <c r="AM46" s="537">
        <v>22.727781675993487</v>
      </c>
      <c r="AN46" s="537">
        <v>58.064294041819295</v>
      </c>
      <c r="AO46" s="537">
        <v>66.154722137895973</v>
      </c>
      <c r="AP46" s="446"/>
      <c r="AR46" s="433" t="str">
        <f>$A:$A</f>
        <v>MeQ_ICG_Adj</v>
      </c>
    </row>
    <row r="47" spans="1:46" ht="18.600000000000001" hidden="1" outlineLevel="1" thickBot="1" x14ac:dyDescent="0.55000000000000004">
      <c r="A47" s="380" t="s">
        <v>43</v>
      </c>
      <c r="B47" s="422"/>
      <c r="C47" s="489" t="s">
        <v>516</v>
      </c>
      <c r="D47" s="489" t="s">
        <v>517</v>
      </c>
      <c r="E47" s="542" t="str">
        <f t="shared" si="9"/>
        <v>Pre-tax income (k)=(e)+(g)+(i)</v>
      </c>
      <c r="F47" s="440"/>
      <c r="G47" s="543">
        <f>G34+G38+G42+G43</f>
        <v>413.34986230999954</v>
      </c>
      <c r="H47" s="543">
        <f>H34+H38+H42+H43</f>
        <v>424.51726568999999</v>
      </c>
      <c r="I47" s="543" t="e">
        <f>I34+I38+I42+I43</f>
        <v>#VALUE!</v>
      </c>
      <c r="J47" s="544" t="str">
        <f t="shared" si="10"/>
        <v>NM</v>
      </c>
      <c r="K47" s="543">
        <f>K34+K38+K42+K43</f>
        <v>429.06057198999991</v>
      </c>
      <c r="L47" s="544">
        <f t="shared" si="11"/>
        <v>-3.6616530871465214E-2</v>
      </c>
      <c r="M47" s="440"/>
      <c r="N47" s="543">
        <f>N34+N38+N42+N43+N45</f>
        <v>498.07772675999956</v>
      </c>
      <c r="O47" s="543">
        <f>O34+O38+O42+O43+O45</f>
        <v>424.51726568999999</v>
      </c>
      <c r="P47" s="544">
        <f t="shared" si="12"/>
        <v>0.17328025740115938</v>
      </c>
      <c r="Q47" s="543">
        <f>Q34+Q38+Q42+Q43</f>
        <v>429.06057198999991</v>
      </c>
      <c r="R47" s="544">
        <f t="shared" si="13"/>
        <v>0.16085643677277406</v>
      </c>
      <c r="S47" s="440"/>
      <c r="T47" s="543">
        <f>T34+T38+T42+T43</f>
        <v>473.93924263999952</v>
      </c>
      <c r="U47" s="544">
        <f t="shared" si="14"/>
        <v>5.0931600399959809E-2</v>
      </c>
      <c r="V47" s="406"/>
      <c r="W47" s="492">
        <v>84.727999999999994</v>
      </c>
      <c r="X47" s="492" t="e">
        <v>#VALUE!</v>
      </c>
      <c r="Y47" s="406"/>
      <c r="Z47" s="492">
        <v>1E-3</v>
      </c>
      <c r="AA47" s="492">
        <v>2E-3</v>
      </c>
      <c r="AB47" s="406"/>
      <c r="AC47" s="492">
        <v>2.3E-2</v>
      </c>
      <c r="AD47" s="406"/>
      <c r="AE47" s="543"/>
      <c r="AF47" s="545"/>
      <c r="AG47" s="544"/>
      <c r="AH47" s="546"/>
      <c r="AI47" s="547"/>
      <c r="AJ47" s="547"/>
      <c r="AK47" s="406"/>
      <c r="AL47" s="406"/>
      <c r="AM47" s="543"/>
      <c r="AN47" s="543"/>
      <c r="AO47" s="543"/>
      <c r="AP47" s="406"/>
      <c r="AS47" s="386"/>
    </row>
    <row r="48" spans="1:46" ht="18.600000000000001" collapsed="1" thickBot="1" x14ac:dyDescent="0.55000000000000004">
      <c r="A48" s="380" t="s">
        <v>44</v>
      </c>
      <c r="B48" s="422"/>
      <c r="C48" s="496" t="s">
        <v>518</v>
      </c>
      <c r="D48" s="496" t="s">
        <v>519</v>
      </c>
      <c r="E48" s="496" t="str">
        <f t="shared" si="9"/>
        <v>Pre-tax income - ajusted (l)=(f)+(h)+(j)</v>
      </c>
      <c r="F48" s="440"/>
      <c r="G48" s="497">
        <f>G47-G$76-G$77-G$78</f>
        <v>425.13489464999952</v>
      </c>
      <c r="H48" s="497">
        <f>H47-H$76-H$77-H$78</f>
        <v>451.75980394999999</v>
      </c>
      <c r="I48" s="497" t="e">
        <f>I47-I$76-I$77-I$78</f>
        <v>#VALUE!</v>
      </c>
      <c r="J48" s="498" t="str">
        <f t="shared" si="10"/>
        <v>NM</v>
      </c>
      <c r="K48" s="497">
        <f>K47-K$76-K$77-K$78</f>
        <v>457.59613872999995</v>
      </c>
      <c r="L48" s="498">
        <f t="shared" si="11"/>
        <v>-7.0938631978172961E-2</v>
      </c>
      <c r="M48" s="440"/>
      <c r="N48" s="497">
        <f>N47-N$76-N$77-N$78</f>
        <v>509.86275909999949</v>
      </c>
      <c r="O48" s="497">
        <f>O47-O$76-O$77-O$78</f>
        <v>451.75980394999999</v>
      </c>
      <c r="P48" s="498">
        <f>IF(ISERROR($N48*O48),IF($E$5="FR","NS","NM"),IF($N48*O48&gt;0,IF($N48/O48&gt;2,IF($E$5="FR","NS","NM"),$N48/O48-1),IF($E$5="FR","NS","NM")))</f>
        <v>0.12861470773178896</v>
      </c>
      <c r="Q48" s="497">
        <f>Q47-Q$76-Q$77-Q$78</f>
        <v>457.59613872999995</v>
      </c>
      <c r="R48" s="498">
        <f t="shared" si="13"/>
        <v>0.11421997684477603</v>
      </c>
      <c r="S48" s="440"/>
      <c r="T48" s="497">
        <f>T47-T$76-T$77-T$78</f>
        <v>518.61351562999937</v>
      </c>
      <c r="U48" s="498">
        <f t="shared" si="14"/>
        <v>-1.6873367674133388E-2</v>
      </c>
      <c r="V48" s="406"/>
      <c r="W48" s="499">
        <v>84.727999999999994</v>
      </c>
      <c r="X48" s="499" t="e">
        <v>#VALUE!</v>
      </c>
      <c r="Y48" s="548"/>
      <c r="Z48" s="499">
        <v>1E-3</v>
      </c>
      <c r="AA48" s="499">
        <v>2E-3</v>
      </c>
      <c r="AB48" s="406"/>
      <c r="AC48" s="499">
        <v>2.3E-2</v>
      </c>
      <c r="AD48" s="406"/>
      <c r="AE48" s="549">
        <v>459.12900990105629</v>
      </c>
      <c r="AF48" s="550">
        <v>14</v>
      </c>
      <c r="AG48" s="551">
        <f>IF(ISERROR($N48*AE48),IF($E$5="FR","NS","NM"),IF($N48*AE48&gt;0,IF($N48/AE48&gt;2,IF($E$5="FR","NS","NM"),$N48/AE48-1),IF($E$5="FR","NS","NM")))</f>
        <v>0.11049998607118394</v>
      </c>
      <c r="AH48" s="552">
        <f>N48-AE48</f>
        <v>50.733749198943201</v>
      </c>
      <c r="AI48" s="553">
        <v>483.18393837500003</v>
      </c>
      <c r="AJ48" s="553">
        <v>414.58665277499995</v>
      </c>
      <c r="AK48" s="406"/>
      <c r="AL48" s="406"/>
      <c r="AM48" s="549">
        <v>1891.0029773667077</v>
      </c>
      <c r="AN48" s="549">
        <v>1966.2626426483851</v>
      </c>
      <c r="AO48" s="549">
        <v>2035.2055071506231</v>
      </c>
      <c r="AP48" s="406"/>
      <c r="AR48" s="433" t="str">
        <f>$A:$A</f>
        <v>PBT_Adj</v>
      </c>
      <c r="AS48" s="386"/>
    </row>
    <row r="49" spans="1:45" ht="18.600000000000001" hidden="1" outlineLevel="2" thickBot="1" x14ac:dyDescent="0.55000000000000004">
      <c r="A49" s="380" t="s">
        <v>46</v>
      </c>
      <c r="B49" s="422"/>
      <c r="C49" s="520" t="s">
        <v>520</v>
      </c>
      <c r="D49" s="520" t="s">
        <v>523</v>
      </c>
      <c r="E49" s="520" t="str">
        <f t="shared" si="9"/>
        <v>Corporate tax (m)</v>
      </c>
      <c r="F49" s="440"/>
      <c r="G49" s="446">
        <v>-153.61864051000001</v>
      </c>
      <c r="H49" s="446">
        <v>-142.51557875999998</v>
      </c>
      <c r="I49" s="446" t="s">
        <v>530</v>
      </c>
      <c r="J49" s="447" t="str">
        <f t="shared" si="10"/>
        <v>NM</v>
      </c>
      <c r="K49" s="446">
        <v>-147.08888506</v>
      </c>
      <c r="L49" s="447">
        <f t="shared" si="11"/>
        <v>4.4393262260002953E-2</v>
      </c>
      <c r="M49" s="440"/>
      <c r="N49" s="446">
        <v>-153.61864051000001</v>
      </c>
      <c r="O49" s="446">
        <v>-142.51557875999998</v>
      </c>
      <c r="P49" s="447">
        <f t="shared" si="12"/>
        <v>7.7907705575808395E-2</v>
      </c>
      <c r="Q49" s="446">
        <v>-147.08888506</v>
      </c>
      <c r="R49" s="447">
        <f t="shared" si="13"/>
        <v>4.4393262260002953E-2</v>
      </c>
      <c r="S49" s="440"/>
      <c r="T49" s="446">
        <v>-128.21276412999998</v>
      </c>
      <c r="U49" s="447">
        <f t="shared" si="14"/>
        <v>0.19815403366734996</v>
      </c>
      <c r="V49" s="406"/>
      <c r="W49" s="554"/>
      <c r="X49" s="554"/>
      <c r="Y49" s="406"/>
      <c r="Z49" s="469">
        <v>0</v>
      </c>
      <c r="AA49" s="469">
        <v>0</v>
      </c>
      <c r="AB49" s="406"/>
      <c r="AC49" s="469">
        <v>0</v>
      </c>
      <c r="AD49" s="406"/>
      <c r="AE49" s="446"/>
      <c r="AF49" s="449"/>
      <c r="AG49" s="447"/>
      <c r="AH49" s="453"/>
      <c r="AI49" s="452"/>
      <c r="AJ49" s="452"/>
      <c r="AK49" s="406"/>
      <c r="AL49" s="406"/>
      <c r="AM49" s="446"/>
      <c r="AN49" s="446"/>
      <c r="AO49" s="446"/>
      <c r="AP49" s="406"/>
      <c r="AS49" s="386"/>
    </row>
    <row r="50" spans="1:45" ht="18.600000000000001" collapsed="1" thickBot="1" x14ac:dyDescent="0.55000000000000004">
      <c r="A50" s="380" t="s">
        <v>47</v>
      </c>
      <c r="B50" s="422"/>
      <c r="C50" s="529" t="s">
        <v>521</v>
      </c>
      <c r="D50" s="529" t="s">
        <v>524</v>
      </c>
      <c r="E50" s="536" t="str">
        <f t="shared" si="9"/>
        <v>Corporate tax - ajusted (n)</v>
      </c>
      <c r="F50" s="440"/>
      <c r="G50" s="537">
        <f>G49-G$79</f>
        <v>-159.84524768</v>
      </c>
      <c r="H50" s="537">
        <f>H49-H$79</f>
        <v>-149.30077011999998</v>
      </c>
      <c r="I50" s="537" t="e">
        <f>I49-I$79</f>
        <v>#VALUE!</v>
      </c>
      <c r="J50" s="538" t="str">
        <f t="shared" si="10"/>
        <v>NM</v>
      </c>
      <c r="K50" s="537">
        <f>K49-K$79</f>
        <v>-155.13710481999999</v>
      </c>
      <c r="L50" s="538">
        <f t="shared" si="11"/>
        <v>3.0348270747109218E-2</v>
      </c>
      <c r="M50" s="440"/>
      <c r="N50" s="537">
        <v>-159.84524768</v>
      </c>
      <c r="O50" s="537">
        <f>O49-O$79</f>
        <v>-149.30077011999998</v>
      </c>
      <c r="P50" s="538">
        <f t="shared" si="12"/>
        <v>7.0625741257228203E-2</v>
      </c>
      <c r="Q50" s="537">
        <f>Q49-Q$79</f>
        <v>-155.13710481999999</v>
      </c>
      <c r="R50" s="538">
        <f t="shared" si="13"/>
        <v>3.0348270747109218E-2</v>
      </c>
      <c r="S50" s="440"/>
      <c r="T50" s="537">
        <f>T49-T$79</f>
        <v>-142.93673589999997</v>
      </c>
      <c r="U50" s="538">
        <f t="shared" si="14"/>
        <v>0.11829367498520038</v>
      </c>
      <c r="V50" s="406"/>
      <c r="W50" s="469">
        <v>0</v>
      </c>
      <c r="X50" s="469" t="e">
        <v>#VALUE!</v>
      </c>
      <c r="Y50" s="406"/>
      <c r="Z50" s="469">
        <v>0</v>
      </c>
      <c r="AA50" s="469">
        <v>0</v>
      </c>
      <c r="AB50" s="406"/>
      <c r="AC50" s="469">
        <v>0</v>
      </c>
      <c r="AD50" s="406"/>
      <c r="AE50" s="537">
        <v>-141.05301739595731</v>
      </c>
      <c r="AF50" s="539">
        <v>14</v>
      </c>
      <c r="AG50" s="538">
        <f>IF(ISERROR($N50*AE50),IF($E$5="FR","NS","NM"),IF($N50*AE50&gt;0,IF($N50/AE50&gt;2,IF($E$5="FR","NS","NM"),$N50/AE50-1),IF($E$5="FR","NS","NM")))</f>
        <v>0.13322813386749499</v>
      </c>
      <c r="AH50" s="540">
        <f>N50-AE50</f>
        <v>-18.792230284042688</v>
      </c>
      <c r="AI50" s="541">
        <v>-103.00063399999998</v>
      </c>
      <c r="AJ50" s="541">
        <v>-157.80799999999999</v>
      </c>
      <c r="AK50" s="406"/>
      <c r="AL50" s="406"/>
      <c r="AM50" s="537">
        <v>-492.4977823572334</v>
      </c>
      <c r="AN50" s="537">
        <v>-449.10695215995219</v>
      </c>
      <c r="AO50" s="537">
        <v>-461.6684336117483</v>
      </c>
      <c r="AP50" s="406"/>
      <c r="AR50" s="433" t="str">
        <f>$A:$A</f>
        <v>Tax_Adj</v>
      </c>
      <c r="AS50" s="386"/>
    </row>
    <row r="51" spans="1:45" ht="18.600000000000001" thickBot="1" x14ac:dyDescent="0.55000000000000004">
      <c r="A51" s="380" t="s">
        <v>49</v>
      </c>
      <c r="B51" s="422"/>
      <c r="C51" s="555" t="s">
        <v>522</v>
      </c>
      <c r="D51" s="555" t="s">
        <v>525</v>
      </c>
      <c r="E51" s="555" t="str">
        <f t="shared" si="9"/>
        <v>Non-controlling interests (o)</v>
      </c>
      <c r="F51" s="440"/>
      <c r="G51" s="446">
        <v>-0.52607792000000009</v>
      </c>
      <c r="H51" s="446">
        <v>0.91668713000000002</v>
      </c>
      <c r="I51" s="446" t="s">
        <v>530</v>
      </c>
      <c r="J51" s="556" t="str">
        <f t="shared" si="10"/>
        <v>NM</v>
      </c>
      <c r="K51" s="446">
        <v>0.91668713000000002</v>
      </c>
      <c r="L51" s="557" t="str">
        <f t="shared" si="11"/>
        <v>NM</v>
      </c>
      <c r="M51" s="440"/>
      <c r="N51" s="446">
        <v>-0.52607792000000009</v>
      </c>
      <c r="O51" s="446">
        <v>0.91668713000000002</v>
      </c>
      <c r="P51" s="447" t="str">
        <f t="shared" si="12"/>
        <v>NM</v>
      </c>
      <c r="Q51" s="446">
        <v>0.91668713000000002</v>
      </c>
      <c r="R51" s="557" t="str">
        <f t="shared" si="13"/>
        <v>NM</v>
      </c>
      <c r="S51" s="440"/>
      <c r="T51" s="446">
        <v>0.25192077999999996</v>
      </c>
      <c r="U51" s="447" t="str">
        <f t="shared" si="14"/>
        <v>NM</v>
      </c>
      <c r="V51" s="406"/>
      <c r="W51" s="558">
        <v>0</v>
      </c>
      <c r="X51" s="558" t="e">
        <v>#VALUE!</v>
      </c>
      <c r="Y51" s="406"/>
      <c r="Z51" s="558">
        <v>0</v>
      </c>
      <c r="AA51" s="558">
        <v>0</v>
      </c>
      <c r="AB51" s="406"/>
      <c r="AC51" s="558">
        <v>0</v>
      </c>
      <c r="AD51" s="406"/>
      <c r="AE51" s="559">
        <v>0.32835464186480867</v>
      </c>
      <c r="AF51" s="560">
        <v>13</v>
      </c>
      <c r="AG51" s="561" t="str">
        <f>IF(ISERROR($N51*AE51),IF($E$5="FR","NS","NM"),IF($N51*AE51&gt;0,IF($N51/AE51&gt;2,IF($E$5="FR","NS","NM"),$N51/AE51-1),IF($E$5="FR","NS","NM")))</f>
        <v>NM</v>
      </c>
      <c r="AH51" s="562">
        <f>N51-AE51</f>
        <v>-0.85443256186480876</v>
      </c>
      <c r="AI51" s="563">
        <v>-1.125</v>
      </c>
      <c r="AJ51" s="563">
        <v>1</v>
      </c>
      <c r="AK51" s="406"/>
      <c r="AL51" s="406"/>
      <c r="AM51" s="559">
        <v>1.2799866864017981</v>
      </c>
      <c r="AN51" s="559">
        <v>1.2721989730734906</v>
      </c>
      <c r="AO51" s="559">
        <v>1.2219070296205332</v>
      </c>
      <c r="AP51" s="406"/>
      <c r="AR51" s="433" t="str">
        <f>$A:$A</f>
        <v>Minos</v>
      </c>
      <c r="AS51" s="386"/>
    </row>
    <row r="52" spans="1:45" ht="18.600000000000001" hidden="1" outlineLevel="2" thickBot="1" x14ac:dyDescent="0.55000000000000004">
      <c r="A52" s="380" t="s">
        <v>50</v>
      </c>
      <c r="B52" s="422"/>
      <c r="C52" s="564" t="s">
        <v>526</v>
      </c>
      <c r="D52" s="564" t="s">
        <v>527</v>
      </c>
      <c r="E52" s="564" t="str">
        <f t="shared" si="9"/>
        <v>Net income group share (p)=(k)+(m)+(o)</v>
      </c>
      <c r="F52" s="440"/>
      <c r="G52" s="565">
        <f>G47+G49+G51</f>
        <v>259.20514387999953</v>
      </c>
      <c r="H52" s="565">
        <f>H47+H49+H51</f>
        <v>282.91837406000002</v>
      </c>
      <c r="I52" s="565" t="e">
        <f>I47+I49+I51</f>
        <v>#VALUE!</v>
      </c>
      <c r="J52" s="566" t="str">
        <f t="shared" si="10"/>
        <v>NM</v>
      </c>
      <c r="K52" s="565">
        <f>K47+K49+K51</f>
        <v>282.88837405999993</v>
      </c>
      <c r="L52" s="567">
        <f t="shared" si="11"/>
        <v>-8.3719347812353906E-2</v>
      </c>
      <c r="M52" s="440"/>
      <c r="N52" s="565">
        <f>N47+N49+N51</f>
        <v>343.93300832999961</v>
      </c>
      <c r="O52" s="565">
        <f>O47+O49+O51</f>
        <v>282.91837406000002</v>
      </c>
      <c r="P52" s="715">
        <f t="shared" si="12"/>
        <v>0.21566161785257498</v>
      </c>
      <c r="Q52" s="565">
        <f>Q47+Q49+Q51</f>
        <v>282.88837405999993</v>
      </c>
      <c r="R52" s="567">
        <f t="shared" si="13"/>
        <v>0.21579053742608822</v>
      </c>
      <c r="S52" s="440"/>
      <c r="T52" s="565">
        <f>T47+T49+T51</f>
        <v>345.97839928999952</v>
      </c>
      <c r="U52" s="568">
        <f t="shared" si="14"/>
        <v>-5.9119036454222673E-3</v>
      </c>
      <c r="V52" s="406"/>
      <c r="W52" s="492">
        <v>84.727999999999994</v>
      </c>
      <c r="X52" s="492" t="e">
        <v>#VALUE!</v>
      </c>
      <c r="Y52" s="406"/>
      <c r="Z52" s="492">
        <v>1E-3</v>
      </c>
      <c r="AA52" s="492">
        <v>-2.8000000000000001E-2</v>
      </c>
      <c r="AB52" s="406"/>
      <c r="AC52" s="492">
        <v>2.3E-2</v>
      </c>
      <c r="AD52" s="406"/>
      <c r="AE52" s="725">
        <v>299.66837377734527</v>
      </c>
      <c r="AF52" s="726">
        <v>10</v>
      </c>
      <c r="AG52" s="727">
        <f>IF(ISERROR($N52*AE52),IF($E$5="FR","NS","NM"),IF($N52*AE52&gt;0,IF($N52/AE52&gt;2,IF($E$5="FR","NS","NM"),$N52/AE52-1),IF($E$5="FR","NS","NM")))</f>
        <v>0.14771206582361329</v>
      </c>
      <c r="AH52" s="728">
        <f>N52-AE52</f>
        <v>44.264634552654343</v>
      </c>
      <c r="AI52" s="729">
        <v>316.76070990688453</v>
      </c>
      <c r="AJ52" s="729">
        <v>272.29200000000003</v>
      </c>
      <c r="AK52" s="406"/>
      <c r="AL52" s="406"/>
      <c r="AM52" s="725">
        <v>1379.4880099995737</v>
      </c>
      <c r="AN52" s="725">
        <v>1443.8945680442328</v>
      </c>
      <c r="AO52" s="725">
        <v>1500.2826696569393</v>
      </c>
      <c r="AP52" s="406"/>
      <c r="AR52" s="433" t="str">
        <f>$A:$A</f>
        <v>NetAttribProf</v>
      </c>
      <c r="AS52" s="386"/>
    </row>
    <row r="53" spans="1:45" ht="18.600000000000001" collapsed="1" thickBot="1" x14ac:dyDescent="0.55000000000000004">
      <c r="A53" s="380" t="s">
        <v>51</v>
      </c>
      <c r="B53" s="422"/>
      <c r="C53" s="569" t="s">
        <v>528</v>
      </c>
      <c r="D53" s="569" t="s">
        <v>529</v>
      </c>
      <c r="E53" s="569" t="str">
        <f t="shared" si="9"/>
        <v>Net income group share - ajusted (q)=(l)+(n)+(o)</v>
      </c>
      <c r="F53" s="440"/>
      <c r="G53" s="570">
        <f>G52-G$80</f>
        <v>264.76356904999955</v>
      </c>
      <c r="H53" s="570">
        <f>H52-H$80</f>
        <v>303.40572104</v>
      </c>
      <c r="I53" s="570" t="e">
        <f>I52-I$80</f>
        <v>#VALUE!</v>
      </c>
      <c r="J53" s="571" t="str">
        <f t="shared" si="10"/>
        <v>NM</v>
      </c>
      <c r="K53" s="570">
        <f>K52-K$80</f>
        <v>303.37572103999992</v>
      </c>
      <c r="L53" s="572">
        <f t="shared" si="11"/>
        <v>-0.12727502338563668</v>
      </c>
      <c r="M53" s="440"/>
      <c r="N53" s="570">
        <f>N52-N$80</f>
        <v>349.49143349999963</v>
      </c>
      <c r="O53" s="570">
        <f>O52-O$80</f>
        <v>303.40572104</v>
      </c>
      <c r="P53" s="573">
        <f t="shared" si="12"/>
        <v>0.15189467193311046</v>
      </c>
      <c r="Q53" s="570">
        <f>Q52-Q$80</f>
        <v>303.37572103999992</v>
      </c>
      <c r="R53" s="572">
        <f t="shared" si="13"/>
        <v>0.15200857966455184</v>
      </c>
      <c r="S53" s="440"/>
      <c r="T53" s="570">
        <f>T52-T$80</f>
        <v>375.92870050999954</v>
      </c>
      <c r="U53" s="572">
        <f t="shared" si="14"/>
        <v>-7.0325215856448575E-2</v>
      </c>
      <c r="V53" s="406"/>
      <c r="W53" s="499">
        <v>84.727999999999994</v>
      </c>
      <c r="X53" s="499" t="e">
        <v>#VALUE!</v>
      </c>
      <c r="Y53" s="406"/>
      <c r="Z53" s="499">
        <v>1E-3</v>
      </c>
      <c r="AA53" s="499">
        <v>-2.8000000000000001E-2</v>
      </c>
      <c r="AB53" s="406"/>
      <c r="AC53" s="499">
        <v>2.3E-2</v>
      </c>
      <c r="AD53" s="406"/>
      <c r="AE53" s="574">
        <v>318.43446467254483</v>
      </c>
      <c r="AF53" s="575">
        <v>14</v>
      </c>
      <c r="AG53" s="576">
        <f>IF(ISERROR($N53*AE53),IF($E$5="FR","NS","NM"),IF($N53*AE53&gt;0,IF($N53/AE53&gt;2,IF($E$5="FR","NS","NM"),$N53/AE53-1),IF($E$5="FR","NS","NM")))</f>
        <v>9.7530174252311364E-2</v>
      </c>
      <c r="AH53" s="577">
        <f>N53-AE53</f>
        <v>31.056968827454796</v>
      </c>
      <c r="AI53" s="578">
        <v>342.78822617202155</v>
      </c>
      <c r="AJ53" s="578">
        <v>290.04200000000003</v>
      </c>
      <c r="AK53" s="406"/>
      <c r="AL53" s="406"/>
      <c r="AM53" s="574">
        <v>1399.9080397897046</v>
      </c>
      <c r="AN53" s="574">
        <v>1518.6227323920009</v>
      </c>
      <c r="AO53" s="574">
        <v>1574.8859872092366</v>
      </c>
      <c r="AP53" s="406"/>
      <c r="AQ53" s="579"/>
      <c r="AR53" s="433" t="str">
        <f>$A:$A</f>
        <v>NetAttribProf_Adj</v>
      </c>
      <c r="AS53" s="386"/>
    </row>
    <row r="54" spans="1:45" ht="6" customHeight="1" x14ac:dyDescent="0.5">
      <c r="A54" s="384"/>
      <c r="B54" s="411"/>
      <c r="C54" s="406"/>
      <c r="D54" s="406"/>
      <c r="E54" s="406"/>
      <c r="F54" s="406"/>
      <c r="G54" s="406"/>
      <c r="H54" s="406"/>
      <c r="I54" s="406"/>
      <c r="J54" s="462"/>
      <c r="K54" s="406"/>
      <c r="L54" s="462"/>
      <c r="M54" s="406"/>
      <c r="N54" s="406"/>
      <c r="O54" s="406"/>
      <c r="P54" s="462"/>
      <c r="Q54" s="406"/>
      <c r="R54" s="462"/>
      <c r="S54" s="406"/>
      <c r="T54" s="406"/>
      <c r="U54" s="462"/>
      <c r="V54" s="406"/>
      <c r="W54" s="406"/>
      <c r="X54" s="406"/>
      <c r="Y54" s="406"/>
      <c r="Z54" s="406"/>
      <c r="AA54" s="406"/>
      <c r="AB54" s="406"/>
      <c r="AC54" s="406"/>
      <c r="AD54" s="406"/>
      <c r="AE54" s="406"/>
      <c r="AF54" s="463"/>
      <c r="AG54" s="462"/>
      <c r="AH54" s="464"/>
      <c r="AI54" s="389"/>
      <c r="AJ54" s="389"/>
      <c r="AK54" s="406"/>
      <c r="AL54" s="406"/>
      <c r="AM54" s="406"/>
      <c r="AN54" s="406"/>
      <c r="AO54" s="406"/>
      <c r="AP54" s="406"/>
      <c r="AS54" s="386"/>
    </row>
    <row r="55" spans="1:45" ht="18.600000000000001" hidden="1" outlineLevel="2" thickBot="1" x14ac:dyDescent="0.55000000000000004">
      <c r="A55" s="580" t="s">
        <v>346</v>
      </c>
      <c r="B55" s="422"/>
      <c r="C55" s="581" t="s">
        <v>347</v>
      </c>
      <c r="D55" s="581" t="s">
        <v>348</v>
      </c>
      <c r="E55" s="582" t="str">
        <f>IF($E$5="EN",$D:$D,$C:$C)</f>
        <v>Earnings per share (€)</v>
      </c>
      <c r="F55" s="583"/>
      <c r="G55" s="584">
        <v>1.6664551679165009</v>
      </c>
      <c r="H55" s="584">
        <v>1.3771353242423781</v>
      </c>
      <c r="I55" s="584" t="s">
        <v>530</v>
      </c>
      <c r="J55" s="585" t="str">
        <f>IF(ISERROR($G55*I55),IF($E$5="FR","NS","NM"),IF($G55*I55&gt;0,IF($G55/I55&gt;2,IF($E$5="FR","NS","NM"),$G55/I55-1),IF($E$5="FR","NS","NM")))</f>
        <v>NM</v>
      </c>
      <c r="K55" s="584">
        <v>1.3771353246318252</v>
      </c>
      <c r="L55" s="585">
        <f>IF(ISERROR(G55*K55),IF($E$5="FR","NS","NM"),IF(G55*K55&gt;0,IF(G55/K55&gt;2,IF($E$5="FR","NS","NM"),G55/K55-1),IF($E$5="FR","NS","NM")))</f>
        <v>0.21008817224409304</v>
      </c>
      <c r="M55" s="586"/>
      <c r="N55" s="584">
        <v>1.6664551679165009</v>
      </c>
      <c r="O55" s="584">
        <v>1.3771353242423781</v>
      </c>
      <c r="P55" s="585">
        <f>IF(ISERROR($N55*O55),IF($E$5="FR","NS","NM"),IF($N55*O55&gt;0,IF($N55/O55&gt;2,IF($E$5="FR","NS","NM"),$N55/O55-1),IF($E$5="FR","NS","NM")))</f>
        <v>0.21008817258629997</v>
      </c>
      <c r="Q55" s="584">
        <v>1.3771353246318252</v>
      </c>
      <c r="R55" s="585">
        <f>IF(ISERROR($N55*Q55),IF($E$5="FR","NS","NM"),IF($N55*Q55&gt;0,IF($N55/Q55&gt;2,IF($E$5="FR","NS","NM"),$N55/Q55-1),IF($E$5="FR","NS","NM")))</f>
        <v>0.21008817224409304</v>
      </c>
      <c r="S55" s="586"/>
      <c r="T55" s="584">
        <v>1.6764752975446628</v>
      </c>
      <c r="U55" s="585">
        <f>IF(ISERROR($N55*T55),IF($E$5="FR","NS","NM"),IF($N55*T55&gt;0,IF($N55/T55&gt;2,IF($E$5="FR","NS","NM"),$N55/T55-1),IF($E$5="FR","NS","NM")))</f>
        <v>-5.9769026378362344E-3</v>
      </c>
      <c r="V55" s="587"/>
      <c r="W55" s="588">
        <v>0</v>
      </c>
      <c r="X55" s="588" t="e">
        <v>#VALUE!</v>
      </c>
      <c r="Y55" s="589"/>
      <c r="Z55" s="588">
        <v>0</v>
      </c>
      <c r="AA55" s="588">
        <v>0</v>
      </c>
      <c r="AB55" s="589"/>
      <c r="AC55" s="588">
        <v>0</v>
      </c>
      <c r="AD55" s="590"/>
      <c r="AE55" s="584"/>
      <c r="AF55" s="591"/>
      <c r="AG55" s="592"/>
      <c r="AH55" s="593"/>
      <c r="AI55" s="584"/>
      <c r="AJ55" s="584"/>
      <c r="AK55" s="590"/>
      <c r="AL55" s="590"/>
      <c r="AM55" s="584"/>
      <c r="AN55" s="584"/>
      <c r="AO55" s="584"/>
      <c r="AP55" s="590"/>
      <c r="AR55" s="433" t="str">
        <f>A55</f>
        <v>EPS</v>
      </c>
      <c r="AS55" s="386"/>
    </row>
    <row r="56" spans="1:45" ht="18.600000000000001" collapsed="1" thickBot="1" x14ac:dyDescent="0.55000000000000004">
      <c r="A56" s="580" t="s">
        <v>349</v>
      </c>
      <c r="B56" s="422"/>
      <c r="C56" s="594" t="s">
        <v>350</v>
      </c>
      <c r="D56" s="594" t="s">
        <v>494</v>
      </c>
      <c r="E56" s="594" t="str">
        <f>IF($E$5="EN",$D:$D,$C:$C)</f>
        <v>Earnings per share - ajusted (€)</v>
      </c>
      <c r="F56" s="583"/>
      <c r="G56" s="595">
        <v>1.6933873066765082</v>
      </c>
      <c r="H56" s="595">
        <v>1.4768696275425233</v>
      </c>
      <c r="I56" s="595" t="s">
        <v>530</v>
      </c>
      <c r="J56" s="596" t="str">
        <f>IF(ISERROR($G56*I56),IF($E$5="FR","NS","NM"),IF($G56*I56&gt;0,IF($G56/I56&gt;2,IF($E$5="FR","NS","NM"),$G56/I56-1),IF($E$5="FR","NS","NM")))</f>
        <v>NM</v>
      </c>
      <c r="K56" s="595">
        <v>1.4768696279319706</v>
      </c>
      <c r="L56" s="596">
        <f>IF(ISERROR(G56*K56),IF($E$5="FR","NS","NM"),IF(G56*K56&gt;0,IF(G56/K56&gt;2,IF($E$5="FR","NS","NM"),G56/K56-1),IF($E$5="FR","NS","NM")))</f>
        <v>0.14660581722959698</v>
      </c>
      <c r="M56" s="586"/>
      <c r="N56" s="595">
        <v>1.6933873066765082</v>
      </c>
      <c r="O56" s="595">
        <v>1.4768696275425233</v>
      </c>
      <c r="P56" s="596">
        <f>IF(ISERROR($N56*O56),IF($E$5="FR","NS","NM"),IF($N56*O56&gt;0,IF($N56/O56&gt;2,IF($E$5="FR","NS","NM"),$N56/O56-1),IF($E$5="FR","NS","NM")))</f>
        <v>0.14660581753195467</v>
      </c>
      <c r="Q56" s="595">
        <v>1.4768696279319706</v>
      </c>
      <c r="R56" s="596">
        <f>IF(ISERROR($N56*Q56),IF($E$5="FR","NS","NM"),IF($N56*Q56&gt;0,IF($N56/Q56&gt;2,IF($E$5="FR","NS","NM"),$N56/Q56-1),IF($E$5="FR","NS","NM")))</f>
        <v>0.14660581722959698</v>
      </c>
      <c r="S56" s="586"/>
      <c r="T56" s="595">
        <v>1.8215929601363212</v>
      </c>
      <c r="U56" s="596">
        <f>IF(ISERROR($N56*T56),IF($E$5="FR","NS","NM"),IF($N56*T56&gt;0,IF($N56/T56&gt;2,IF($E$5="FR","NS","NM"),$N56/T56-1),IF($E$5="FR","NS","NM")))</f>
        <v>-7.038106550994716E-2</v>
      </c>
      <c r="V56" s="587"/>
      <c r="W56" s="597">
        <v>0</v>
      </c>
      <c r="X56" s="597" t="e">
        <v>#VALUE!</v>
      </c>
      <c r="Y56" s="598"/>
      <c r="Z56" s="597">
        <v>0</v>
      </c>
      <c r="AA56" s="597">
        <v>0</v>
      </c>
      <c r="AB56" s="598"/>
      <c r="AC56" s="597">
        <v>0</v>
      </c>
      <c r="AD56" s="590"/>
      <c r="AE56" s="595">
        <v>1.5504378759832884</v>
      </c>
      <c r="AF56" s="599">
        <v>14</v>
      </c>
      <c r="AG56" s="576">
        <f>IF(ISERROR($N56*AE56),IF($E$5="FR","NS","NM"),IF($N56*AE56&gt;0,IF($N56/AE56&gt;2,IF($E$5="FR","NS","NM"),$N56/AE56-1),IF($E$5="FR","NS","NM")))</f>
        <v>9.2199392769969135E-2</v>
      </c>
      <c r="AH56" s="600">
        <f>N56-AE56</f>
        <v>0.14294943069321975</v>
      </c>
      <c r="AI56" s="595">
        <v>1.6931527955489294</v>
      </c>
      <c r="AJ56" s="595">
        <v>1.3282702644346449</v>
      </c>
      <c r="AK56" s="590"/>
      <c r="AL56" s="590"/>
      <c r="AM56" s="595">
        <v>6.9373677023329252</v>
      </c>
      <c r="AN56" s="595">
        <v>7.5970093437560307</v>
      </c>
      <c r="AO56" s="595">
        <v>7.8753894445813781</v>
      </c>
      <c r="AP56" s="590"/>
      <c r="AR56" s="433" t="str">
        <f>$A:$A</f>
        <v>EPS_Adj</v>
      </c>
      <c r="AS56" s="386"/>
    </row>
    <row r="57" spans="1:45" ht="20.25" customHeight="1" thickBot="1" x14ac:dyDescent="0.55000000000000004">
      <c r="A57" s="580" t="s">
        <v>351</v>
      </c>
      <c r="B57" s="422"/>
      <c r="C57" s="581" t="s">
        <v>352</v>
      </c>
      <c r="D57" s="581" t="s">
        <v>353</v>
      </c>
      <c r="E57" s="582" t="str">
        <f>IF($E$5="EN",$D:$D,$C:$C)</f>
        <v>Dividend per share (€)</v>
      </c>
      <c r="F57" s="583"/>
      <c r="G57" s="601">
        <v>0</v>
      </c>
      <c r="H57" s="601"/>
      <c r="I57" s="601" t="s">
        <v>530</v>
      </c>
      <c r="J57" s="602" t="str">
        <f>IF(ISERROR($G57*I57),IF($E$5="FR","NS","NM"),IF($G57*I57&gt;0,IF($G57/I57&gt;2,IF($E$5="FR","NS","NM"),$G57/I57-1),IF($E$5="FR","NS","NM")))</f>
        <v>NM</v>
      </c>
      <c r="K57" s="601"/>
      <c r="L57" s="602"/>
      <c r="M57" s="586"/>
      <c r="N57" s="601"/>
      <c r="O57" s="601"/>
      <c r="P57" s="603"/>
      <c r="Q57" s="601"/>
      <c r="R57" s="603"/>
      <c r="S57" s="586"/>
      <c r="T57" s="601"/>
      <c r="U57" s="603"/>
      <c r="V57" s="587"/>
      <c r="W57" s="588">
        <v>0</v>
      </c>
      <c r="X57" s="588" t="e">
        <v>#VALUE!</v>
      </c>
      <c r="Y57" s="589"/>
      <c r="Z57" s="588">
        <v>0</v>
      </c>
      <c r="AA57" s="588">
        <v>0</v>
      </c>
      <c r="AB57" s="589"/>
      <c r="AC57" s="588">
        <v>0</v>
      </c>
      <c r="AD57" s="590"/>
      <c r="AE57" s="584">
        <v>4.4934097113372689</v>
      </c>
      <c r="AF57" s="604">
        <v>14</v>
      </c>
      <c r="AG57" s="605"/>
      <c r="AH57" s="606"/>
      <c r="AI57" s="584">
        <v>4.9103078877358364</v>
      </c>
      <c r="AJ57" s="584">
        <v>4.25</v>
      </c>
      <c r="AK57" s="590"/>
      <c r="AL57" s="590"/>
      <c r="AM57" s="584">
        <v>4.4934097113372689</v>
      </c>
      <c r="AN57" s="584">
        <v>4.8238503214275017</v>
      </c>
      <c r="AO57" s="584">
        <v>5.0093778997451937</v>
      </c>
      <c r="AP57" s="590"/>
      <c r="AQ57" s="433"/>
      <c r="AR57" s="433" t="str">
        <f>A57</f>
        <v>DivPS</v>
      </c>
      <c r="AS57" s="386"/>
    </row>
    <row r="58" spans="1:45" ht="18" hidden="1" outlineLevel="1" x14ac:dyDescent="0.5">
      <c r="A58" s="399" t="s">
        <v>354</v>
      </c>
      <c r="B58" s="422"/>
      <c r="C58" s="607" t="s">
        <v>434</v>
      </c>
      <c r="D58" s="607" t="s">
        <v>435</v>
      </c>
      <c r="E58" s="608" t="str">
        <f>IF($E$4&lt;&gt;"",IF($E$5="EN",$C:$C,$D:$D),"")</f>
        <v>* pro forma: Amundi US equity-accounted @100% in Q1 2025</v>
      </c>
      <c r="F58" s="440"/>
      <c r="G58" s="609"/>
      <c r="H58" s="609"/>
      <c r="I58" s="609"/>
      <c r="J58" s="610"/>
      <c r="K58" s="609"/>
      <c r="L58" s="610"/>
      <c r="M58" s="440"/>
      <c r="N58" s="609"/>
      <c r="O58" s="609"/>
      <c r="P58" s="610"/>
      <c r="Q58" s="609"/>
      <c r="R58" s="610"/>
      <c r="S58" s="440"/>
      <c r="T58" s="609"/>
      <c r="U58" s="610"/>
      <c r="V58" s="406"/>
      <c r="W58" s="609"/>
      <c r="X58" s="609"/>
      <c r="Y58" s="406"/>
      <c r="Z58" s="609"/>
      <c r="AA58" s="609"/>
      <c r="AB58" s="406"/>
      <c r="AC58" s="609"/>
      <c r="AD58" s="406"/>
      <c r="AE58" s="608" t="str">
        <f>IF($E$4&lt;&gt;"",IF($E$5="EN","Dividend per share: estimate for the FY","Dividende par action : estimation pour l'année entière"),"")</f>
        <v>Dividend per share: estimate for the FY</v>
      </c>
      <c r="AF58" s="611"/>
      <c r="AG58" s="610"/>
      <c r="AH58" s="612"/>
      <c r="AI58" s="613"/>
      <c r="AJ58" s="613"/>
      <c r="AK58" s="406"/>
      <c r="AL58" s="406"/>
      <c r="AM58" s="610"/>
      <c r="AN58" s="610"/>
      <c r="AO58" s="610"/>
      <c r="AP58" s="406"/>
      <c r="AR58" s="399" t="s">
        <v>355</v>
      </c>
      <c r="AS58" s="386"/>
    </row>
    <row r="59" spans="1:45" ht="18" hidden="1" outlineLevel="1" x14ac:dyDescent="0.5">
      <c r="A59" s="399"/>
      <c r="B59" s="422"/>
      <c r="C59" s="607"/>
      <c r="D59" s="607"/>
      <c r="E59" s="614"/>
      <c r="F59" s="440"/>
      <c r="G59" s="609"/>
      <c r="H59" s="609"/>
      <c r="I59" s="609"/>
      <c r="J59" s="610"/>
      <c r="K59" s="609"/>
      <c r="L59" s="610"/>
      <c r="M59" s="440"/>
      <c r="N59" s="615"/>
      <c r="O59" s="609"/>
      <c r="P59" s="610"/>
      <c r="Q59" s="609"/>
      <c r="R59" s="610"/>
      <c r="S59" s="440"/>
      <c r="T59" s="609"/>
      <c r="U59" s="610"/>
      <c r="V59" s="406"/>
      <c r="W59" s="609"/>
      <c r="X59" s="609"/>
      <c r="Y59" s="406"/>
      <c r="Z59" s="609"/>
      <c r="AA59" s="609"/>
      <c r="AB59" s="406"/>
      <c r="AC59" s="609"/>
      <c r="AD59" s="406"/>
      <c r="AE59" s="615"/>
      <c r="AF59" s="611"/>
      <c r="AG59" s="610"/>
      <c r="AH59" s="612"/>
      <c r="AI59" s="613"/>
      <c r="AJ59" s="613"/>
      <c r="AK59" s="406"/>
      <c r="AL59" s="406"/>
      <c r="AM59" s="610"/>
      <c r="AN59" s="610"/>
      <c r="AO59" s="610"/>
      <c r="AP59" s="406"/>
      <c r="AR59" s="399"/>
      <c r="AS59" s="386"/>
    </row>
    <row r="60" spans="1:45" ht="18" hidden="1" outlineLevel="2" x14ac:dyDescent="0.5">
      <c r="A60" s="380"/>
      <c r="B60" s="422"/>
      <c r="C60" s="616" t="s">
        <v>356</v>
      </c>
      <c r="D60" s="616" t="s">
        <v>65</v>
      </c>
      <c r="E60" s="617" t="str">
        <f t="shared" ref="E60:E80" si="15">IF($E$5="EN",$D:$D,$C:$C)</f>
        <v>Adjustments:</v>
      </c>
      <c r="F60" s="440"/>
      <c r="G60" s="618"/>
      <c r="H60" s="618"/>
      <c r="I60" s="618"/>
      <c r="J60" s="618"/>
      <c r="K60" s="618"/>
      <c r="L60" s="618"/>
      <c r="M60" s="440"/>
      <c r="N60" s="618"/>
      <c r="O60" s="618"/>
      <c r="P60" s="618"/>
      <c r="Q60" s="618"/>
      <c r="R60" s="618"/>
      <c r="S60" s="440"/>
      <c r="T60" s="618"/>
      <c r="U60" s="618"/>
      <c r="V60" s="406"/>
      <c r="W60" s="619"/>
      <c r="X60" s="619"/>
      <c r="Y60" s="406"/>
      <c r="Z60" s="619"/>
      <c r="AA60" s="619"/>
      <c r="AB60" s="406"/>
      <c r="AC60" s="619"/>
      <c r="AD60" s="406"/>
      <c r="AE60" s="618"/>
      <c r="AF60" s="620"/>
      <c r="AG60" s="618"/>
      <c r="AH60" s="621"/>
      <c r="AI60" s="622"/>
      <c r="AJ60" s="622"/>
      <c r="AK60" s="406"/>
      <c r="AL60" s="406"/>
      <c r="AM60" s="618"/>
      <c r="AN60" s="618"/>
      <c r="AO60" s="618"/>
      <c r="AP60" s="406"/>
      <c r="AS60" s="386"/>
    </row>
    <row r="61" spans="1:45" ht="18" hidden="1" outlineLevel="2" x14ac:dyDescent="0.5">
      <c r="A61" s="380" t="s">
        <v>53</v>
      </c>
      <c r="B61" s="422"/>
      <c r="C61" s="388" t="s">
        <v>357</v>
      </c>
      <c r="D61" s="388" t="s">
        <v>246</v>
      </c>
      <c r="E61" s="388" t="str">
        <f t="shared" si="15"/>
        <v>Amortisation of intangible assets (bef. Tax)</v>
      </c>
      <c r="F61" s="440"/>
      <c r="G61" s="446">
        <v>-18.376647599999998</v>
      </c>
      <c r="H61" s="446">
        <v>-18.314302480000002</v>
      </c>
      <c r="I61" s="446" t="s">
        <v>530</v>
      </c>
      <c r="J61" s="447" t="str">
        <f t="shared" ref="J61:J80" si="16">IF(ISERROR($G61*I61),IF($E$5="FR","NS","NM"),IF($G61*I61&gt;0,IF($G61/I61&gt;2,IF($E$5="FR","NS","NM"),$G61/I61-1),IF($E$5="FR","NS","NM")))</f>
        <v>NM</v>
      </c>
      <c r="K61" s="446">
        <v>-18.314302480000002</v>
      </c>
      <c r="L61" s="447">
        <f t="shared" ref="L61:L80" si="17">IF(ISERROR(G61*K61),IF($E$5="FR","NS","NM"),IF(G61*K61&gt;0,IF(G61/K61&gt;2,IF($E$5="FR","NS","NM"),G61/K61-1),IF($E$5="FR","NS","NM")))</f>
        <v>3.4041766028534148E-3</v>
      </c>
      <c r="M61" s="440"/>
      <c r="N61" s="623">
        <v>-18.376647599999998</v>
      </c>
      <c r="O61" s="623">
        <v>-18.314302480000002</v>
      </c>
      <c r="P61" s="447">
        <f t="shared" ref="P61:P80" si="18">IF(ISERROR($N61*O61),IF($E$5="FR","NS","NM"),IF($N61*O61&gt;0,IF($N61/O61&gt;2,IF($E$5="FR","NS","NM"),$N61/O61-1),IF($E$5="FR","NS","NM")))</f>
        <v>3.4041766028534148E-3</v>
      </c>
      <c r="Q61" s="623">
        <v>-18.314302480000002</v>
      </c>
      <c r="R61" s="447">
        <f t="shared" ref="R61:R80" si="19">IF(ISERROR($N61*Q61),IF($E$5="FR","NS","NM"),IF($N61*Q61&gt;0,IF($N61/Q61&gt;2,IF($E$5="FR","NS","NM"),$N61/Q61-1),IF($E$5="FR","NS","NM")))</f>
        <v>3.4041766028534148E-3</v>
      </c>
      <c r="S61" s="440"/>
      <c r="T61" s="623">
        <v>-18.357533929999999</v>
      </c>
      <c r="U61" s="447">
        <f t="shared" ref="U61:U80" si="20">IF(ISERROR($N61*T61),IF($E$5="FR","NS","NM"),IF($N61*T61&gt;0,IF($N61/T61&gt;2,IF($E$5="FR","NS","NM"),$N61/T61-1),IF($E$5="FR","NS","NM")))</f>
        <v>1.0411894142690059E-3</v>
      </c>
      <c r="V61" s="406"/>
      <c r="W61" s="448">
        <v>0</v>
      </c>
      <c r="X61" s="448" t="e">
        <v>#VALUE!</v>
      </c>
      <c r="Y61" s="406"/>
      <c r="Z61" s="448">
        <v>0</v>
      </c>
      <c r="AA61" s="448">
        <v>0</v>
      </c>
      <c r="AB61" s="406"/>
      <c r="AC61" s="448">
        <v>0</v>
      </c>
      <c r="AD61" s="406"/>
      <c r="AE61" s="446"/>
      <c r="AF61" s="624"/>
      <c r="AG61" s="447"/>
      <c r="AH61" s="453"/>
      <c r="AI61" s="452"/>
      <c r="AJ61" s="452"/>
      <c r="AK61" s="406"/>
      <c r="AL61" s="406"/>
      <c r="AM61" s="446"/>
      <c r="AN61" s="446"/>
      <c r="AO61" s="446"/>
      <c r="AP61" s="406"/>
      <c r="AS61" s="386"/>
    </row>
    <row r="62" spans="1:45" ht="18" hidden="1" outlineLevel="2" x14ac:dyDescent="0.5">
      <c r="A62" s="380" t="s">
        <v>54</v>
      </c>
      <c r="B62" s="422"/>
      <c r="C62" s="388" t="s">
        <v>358</v>
      </c>
      <c r="D62" s="388" t="s">
        <v>359</v>
      </c>
      <c r="E62" s="388" t="str">
        <f t="shared" si="15"/>
        <v>Amortisation of Alpha Associates Earn Out (bef. tax)</v>
      </c>
      <c r="F62" s="440"/>
      <c r="G62" s="446">
        <v>-1.55</v>
      </c>
      <c r="H62" s="446">
        <v>-1.47500023</v>
      </c>
      <c r="I62" s="446" t="s">
        <v>530</v>
      </c>
      <c r="J62" s="447" t="str">
        <f t="shared" si="16"/>
        <v>NM</v>
      </c>
      <c r="K62" s="446">
        <v>-1.47500023</v>
      </c>
      <c r="L62" s="447">
        <f t="shared" si="17"/>
        <v>5.0847293766184798E-2</v>
      </c>
      <c r="M62" s="440"/>
      <c r="N62" s="623">
        <v>-1.55</v>
      </c>
      <c r="O62" s="623">
        <v>-1.47500023</v>
      </c>
      <c r="P62" s="447">
        <f t="shared" si="18"/>
        <v>5.0847293766184798E-2</v>
      </c>
      <c r="Q62" s="623">
        <v>-1.47500023</v>
      </c>
      <c r="R62" s="447">
        <f t="shared" si="19"/>
        <v>5.0847293766184798E-2</v>
      </c>
      <c r="S62" s="440"/>
      <c r="T62" s="623">
        <v>-1.4749999999999999</v>
      </c>
      <c r="U62" s="447">
        <f t="shared" si="20"/>
        <v>5.0847457627118731E-2</v>
      </c>
      <c r="V62" s="406"/>
      <c r="W62" s="448">
        <v>0</v>
      </c>
      <c r="X62" s="448" t="e">
        <v>#VALUE!</v>
      </c>
      <c r="Y62" s="406"/>
      <c r="Z62" s="448">
        <v>0</v>
      </c>
      <c r="AA62" s="448">
        <v>0</v>
      </c>
      <c r="AB62" s="406"/>
      <c r="AC62" s="448">
        <v>0</v>
      </c>
      <c r="AD62" s="406"/>
      <c r="AE62" s="446"/>
      <c r="AF62" s="624"/>
      <c r="AG62" s="447"/>
      <c r="AH62" s="453"/>
      <c r="AI62" s="452"/>
      <c r="AJ62" s="452"/>
      <c r="AK62" s="406"/>
      <c r="AL62" s="406"/>
      <c r="AM62" s="446"/>
      <c r="AN62" s="446"/>
      <c r="AO62" s="446"/>
      <c r="AP62" s="406"/>
      <c r="AS62" s="386"/>
    </row>
    <row r="63" spans="1:45" ht="18" hidden="1" outlineLevel="2" x14ac:dyDescent="0.5">
      <c r="A63" s="380" t="s">
        <v>237</v>
      </c>
      <c r="B63" s="422"/>
      <c r="C63" s="388" t="s">
        <v>360</v>
      </c>
      <c r="D63" s="388" t="s">
        <v>361</v>
      </c>
      <c r="E63" s="388" t="str">
        <f t="shared" si="15"/>
        <v>MtM revaluation ICG</v>
      </c>
      <c r="F63" s="440"/>
      <c r="G63" s="446">
        <v>-68.286999999999992</v>
      </c>
      <c r="H63" s="446">
        <v>0</v>
      </c>
      <c r="I63" s="446" t="s">
        <v>530</v>
      </c>
      <c r="J63" s="447" t="str">
        <f t="shared" si="16"/>
        <v>NM</v>
      </c>
      <c r="K63" s="446">
        <v>0</v>
      </c>
      <c r="L63" s="447" t="str">
        <f t="shared" si="17"/>
        <v>NM</v>
      </c>
      <c r="M63" s="440"/>
      <c r="N63" s="623">
        <v>-68.286999999999992</v>
      </c>
      <c r="O63" s="623">
        <v>0</v>
      </c>
      <c r="P63" s="447" t="str">
        <f t="shared" si="18"/>
        <v>NM</v>
      </c>
      <c r="Q63" s="623">
        <v>0</v>
      </c>
      <c r="R63" s="447" t="str">
        <f t="shared" si="19"/>
        <v>NM</v>
      </c>
      <c r="S63" s="440"/>
      <c r="T63" s="623">
        <v>3.8888553300000002</v>
      </c>
      <c r="U63" s="447" t="str">
        <f t="shared" si="20"/>
        <v>NM</v>
      </c>
      <c r="V63" s="406"/>
      <c r="W63" s="448">
        <v>0</v>
      </c>
      <c r="X63" s="448" t="e">
        <v>#VALUE!</v>
      </c>
      <c r="Y63" s="406"/>
      <c r="Z63" s="448">
        <v>0</v>
      </c>
      <c r="AA63" s="448">
        <v>0</v>
      </c>
      <c r="AB63" s="406"/>
      <c r="AC63" s="448">
        <v>0</v>
      </c>
      <c r="AD63" s="406"/>
      <c r="AE63" s="446"/>
      <c r="AF63" s="624"/>
      <c r="AG63" s="447"/>
      <c r="AH63" s="453"/>
      <c r="AI63" s="452"/>
      <c r="AJ63" s="452"/>
      <c r="AK63" s="406"/>
      <c r="AL63" s="406"/>
      <c r="AM63" s="446"/>
      <c r="AN63" s="446"/>
      <c r="AO63" s="446"/>
      <c r="AP63" s="406"/>
      <c r="AS63" s="386"/>
    </row>
    <row r="64" spans="1:45" ht="18.600000000000001" hidden="1" outlineLevel="2" thickBot="1" x14ac:dyDescent="0.55000000000000004">
      <c r="A64" s="380" t="s">
        <v>236</v>
      </c>
      <c r="B64" s="422"/>
      <c r="C64" s="388" t="s">
        <v>362</v>
      </c>
      <c r="D64" s="388" t="s">
        <v>248</v>
      </c>
      <c r="E64" s="388" t="str">
        <f t="shared" si="15"/>
        <v>Tax on revenue adjustments</v>
      </c>
      <c r="F64" s="440"/>
      <c r="G64" s="446">
        <v>5.6366067699999993</v>
      </c>
      <c r="H64" s="446">
        <v>6.1877170600000007</v>
      </c>
      <c r="I64" s="446" t="s">
        <v>530</v>
      </c>
      <c r="J64" s="447" t="str">
        <f t="shared" si="16"/>
        <v>NM</v>
      </c>
      <c r="K64" s="446">
        <v>6.1877170600000007</v>
      </c>
      <c r="L64" s="447">
        <f t="shared" si="17"/>
        <v>-8.9065205253583635E-2</v>
      </c>
      <c r="M64" s="440"/>
      <c r="N64" s="623">
        <v>5.6366067699999993</v>
      </c>
      <c r="O64" s="623">
        <v>6.1877170600000007</v>
      </c>
      <c r="P64" s="447">
        <f t="shared" si="18"/>
        <v>-8.9065205253583635E-2</v>
      </c>
      <c r="Q64" s="623">
        <v>6.1877170600000007</v>
      </c>
      <c r="R64" s="447">
        <f t="shared" si="19"/>
        <v>-8.9065205253583635E-2</v>
      </c>
      <c r="S64" s="440"/>
      <c r="T64" s="623">
        <v>5.6068006499999985</v>
      </c>
      <c r="U64" s="447">
        <f t="shared" si="20"/>
        <v>5.3160655890271968E-3</v>
      </c>
      <c r="V64" s="406"/>
      <c r="W64" s="448">
        <v>0</v>
      </c>
      <c r="X64" s="448" t="e">
        <v>#VALUE!</v>
      </c>
      <c r="Y64" s="406"/>
      <c r="Z64" s="448">
        <v>0</v>
      </c>
      <c r="AA64" s="448">
        <v>0</v>
      </c>
      <c r="AB64" s="406"/>
      <c r="AC64" s="448">
        <v>0</v>
      </c>
      <c r="AD64" s="406"/>
      <c r="AE64" s="446"/>
      <c r="AF64" s="624"/>
      <c r="AG64" s="447"/>
      <c r="AH64" s="453"/>
      <c r="AI64" s="452"/>
      <c r="AJ64" s="452"/>
      <c r="AK64" s="406"/>
      <c r="AL64" s="406"/>
      <c r="AM64" s="446"/>
      <c r="AN64" s="446"/>
      <c r="AO64" s="446"/>
      <c r="AP64" s="406"/>
      <c r="AS64" s="386"/>
    </row>
    <row r="65" spans="1:45" ht="18.600000000000001" hidden="1" outlineLevel="2" thickBot="1" x14ac:dyDescent="0.55000000000000004">
      <c r="A65" s="625" t="s">
        <v>238</v>
      </c>
      <c r="B65" s="626"/>
      <c r="C65" s="627" t="s">
        <v>363</v>
      </c>
      <c r="D65" s="627" t="s">
        <v>364</v>
      </c>
      <c r="E65" s="639" t="str">
        <f t="shared" si="15"/>
        <v>Adjustments to revenues (net of tax)</v>
      </c>
      <c r="F65" s="629"/>
      <c r="G65" s="630">
        <f>SUM(G61:G64)</f>
        <v>-82.577040829999987</v>
      </c>
      <c r="H65" s="630">
        <f>SUM(H61:H64)</f>
        <v>-13.601585650000001</v>
      </c>
      <c r="I65" s="630">
        <f>SUM(I61:I64)</f>
        <v>0</v>
      </c>
      <c r="J65" s="631" t="str">
        <f t="shared" si="16"/>
        <v>NM</v>
      </c>
      <c r="K65" s="630">
        <f>K61+K62+K64</f>
        <v>-13.601585650000001</v>
      </c>
      <c r="L65" s="631" t="str">
        <f t="shared" si="17"/>
        <v>NM</v>
      </c>
      <c r="M65" s="629"/>
      <c r="N65" s="759">
        <f>SUM(N61:N64)</f>
        <v>-82.577040829999987</v>
      </c>
      <c r="O65" s="759">
        <f>SUM(O61:O64)</f>
        <v>-13.601585650000001</v>
      </c>
      <c r="P65" s="760" t="str">
        <f t="shared" si="18"/>
        <v>NM</v>
      </c>
      <c r="Q65" s="632">
        <f>Q61+Q62+Q64</f>
        <v>-13.601585650000001</v>
      </c>
      <c r="R65" s="631" t="str">
        <f t="shared" si="19"/>
        <v>NM</v>
      </c>
      <c r="S65" s="629"/>
      <c r="T65" s="759">
        <f>SUM(T61:T64)</f>
        <v>-10.336877950000002</v>
      </c>
      <c r="U65" s="760" t="str">
        <f t="shared" si="20"/>
        <v>NM</v>
      </c>
      <c r="V65" s="406"/>
      <c r="W65" s="448">
        <v>0</v>
      </c>
      <c r="X65" s="448">
        <v>0</v>
      </c>
      <c r="Y65" s="406"/>
      <c r="Z65" s="448">
        <v>0</v>
      </c>
      <c r="AA65" s="448">
        <v>-0.59</v>
      </c>
      <c r="AB65" s="406"/>
      <c r="AC65" s="448">
        <v>0</v>
      </c>
      <c r="AD65" s="406"/>
      <c r="AE65" s="630"/>
      <c r="AF65" s="633"/>
      <c r="AG65" s="631"/>
      <c r="AH65" s="634"/>
      <c r="AI65" s="635"/>
      <c r="AJ65" s="635"/>
      <c r="AK65" s="406"/>
      <c r="AL65" s="406"/>
      <c r="AM65" s="630"/>
      <c r="AN65" s="630"/>
      <c r="AO65" s="630"/>
      <c r="AP65" s="406"/>
      <c r="AR65" s="433" t="s">
        <v>365</v>
      </c>
      <c r="AS65" s="386"/>
    </row>
    <row r="66" spans="1:45" ht="18" hidden="1" outlineLevel="2" x14ac:dyDescent="0.5">
      <c r="A66" s="380" t="s">
        <v>55</v>
      </c>
      <c r="B66" s="422"/>
      <c r="C66" s="388" t="s">
        <v>366</v>
      </c>
      <c r="D66" s="388" t="s">
        <v>92</v>
      </c>
      <c r="E66" s="388" t="str">
        <f t="shared" si="15"/>
        <v>IPO / integration costs (bef. tax)</v>
      </c>
      <c r="F66" s="440"/>
      <c r="G66" s="446">
        <v>-1.099120794378905E-14</v>
      </c>
      <c r="H66" s="446">
        <v>-3.3586457000000203</v>
      </c>
      <c r="I66" s="446" t="s">
        <v>530</v>
      </c>
      <c r="J66" s="447" t="str">
        <f t="shared" si="16"/>
        <v>NM</v>
      </c>
      <c r="K66" s="446">
        <v>-8.7462640300000203</v>
      </c>
      <c r="L66" s="447">
        <f t="shared" si="17"/>
        <v>-0.99999999999999878</v>
      </c>
      <c r="M66" s="440"/>
      <c r="N66" s="623">
        <v>-1.099120794378905E-14</v>
      </c>
      <c r="O66" s="623">
        <v>-3.3586457000000203</v>
      </c>
      <c r="P66" s="447">
        <f t="shared" si="18"/>
        <v>-0.99999999999999678</v>
      </c>
      <c r="Q66" s="623">
        <v>-8.7462640300000203</v>
      </c>
      <c r="R66" s="447">
        <f t="shared" si="19"/>
        <v>-0.99999999999999878</v>
      </c>
      <c r="S66" s="440"/>
      <c r="T66" s="623">
        <v>-20.221071649999924</v>
      </c>
      <c r="U66" s="447">
        <f t="shared" si="20"/>
        <v>-0.99999999999999944</v>
      </c>
      <c r="V66" s="406"/>
      <c r="W66" s="448">
        <v>0</v>
      </c>
      <c r="X66" s="448" t="e">
        <v>#VALUE!</v>
      </c>
      <c r="Y66" s="406"/>
      <c r="Z66" s="448">
        <v>0</v>
      </c>
      <c r="AA66" s="448">
        <v>0</v>
      </c>
      <c r="AB66" s="406"/>
      <c r="AC66" s="448">
        <v>0</v>
      </c>
      <c r="AD66" s="406"/>
      <c r="AE66" s="446"/>
      <c r="AF66" s="624"/>
      <c r="AG66" s="447"/>
      <c r="AH66" s="453"/>
      <c r="AI66" s="452"/>
      <c r="AJ66" s="452"/>
      <c r="AK66" s="406"/>
      <c r="AL66" s="406"/>
      <c r="AM66" s="446"/>
      <c r="AN66" s="446"/>
      <c r="AO66" s="446"/>
      <c r="AP66" s="406"/>
      <c r="AR66" s="433"/>
      <c r="AS66" s="386"/>
    </row>
    <row r="67" spans="1:45" ht="18" hidden="1" outlineLevel="2" x14ac:dyDescent="0.5">
      <c r="A67" s="380" t="s">
        <v>186</v>
      </c>
      <c r="B67" s="422"/>
      <c r="C67" s="388" t="s">
        <v>367</v>
      </c>
      <c r="D67" s="388" t="s">
        <v>368</v>
      </c>
      <c r="E67" s="388" t="str">
        <f t="shared" si="15"/>
        <v>Amortisation related to aixigo PPA (bef. Tax)</v>
      </c>
      <c r="F67" s="440"/>
      <c r="G67" s="446">
        <v>-1.7879999999999998</v>
      </c>
      <c r="H67" s="446">
        <v>0</v>
      </c>
      <c r="I67" s="446" t="s">
        <v>530</v>
      </c>
      <c r="J67" s="447" t="str">
        <f t="shared" si="16"/>
        <v>NM</v>
      </c>
      <c r="K67" s="446">
        <v>0</v>
      </c>
      <c r="L67" s="447" t="str">
        <f t="shared" si="17"/>
        <v>NM</v>
      </c>
      <c r="M67" s="440"/>
      <c r="N67" s="623">
        <v>-1.7879999999999998</v>
      </c>
      <c r="O67" s="623">
        <v>0</v>
      </c>
      <c r="P67" s="447" t="str">
        <f t="shared" si="18"/>
        <v>NM</v>
      </c>
      <c r="Q67" s="623">
        <v>0</v>
      </c>
      <c r="R67" s="447" t="str">
        <f t="shared" si="19"/>
        <v>NM</v>
      </c>
      <c r="S67" s="440"/>
      <c r="T67" s="623">
        <v>-1.7879999999999998</v>
      </c>
      <c r="U67" s="447">
        <f t="shared" si="20"/>
        <v>0</v>
      </c>
      <c r="V67" s="406"/>
      <c r="W67" s="448">
        <v>0</v>
      </c>
      <c r="X67" s="448" t="e">
        <v>#VALUE!</v>
      </c>
      <c r="Y67" s="406"/>
      <c r="Z67" s="448">
        <v>0</v>
      </c>
      <c r="AA67" s="448">
        <v>0</v>
      </c>
      <c r="AB67" s="406"/>
      <c r="AC67" s="448">
        <v>0</v>
      </c>
      <c r="AD67" s="406"/>
      <c r="AE67" s="446"/>
      <c r="AF67" s="624"/>
      <c r="AG67" s="447"/>
      <c r="AH67" s="453"/>
      <c r="AI67" s="452"/>
      <c r="AJ67" s="452"/>
      <c r="AK67" s="406"/>
      <c r="AL67" s="406"/>
      <c r="AM67" s="446"/>
      <c r="AN67" s="446"/>
      <c r="AO67" s="446"/>
      <c r="AP67" s="406"/>
      <c r="AR67" s="433"/>
      <c r="AS67" s="386"/>
    </row>
    <row r="68" spans="1:45" ht="18.600000000000001" hidden="1" outlineLevel="2" thickBot="1" x14ac:dyDescent="0.55000000000000004">
      <c r="A68" s="380" t="s">
        <v>239</v>
      </c>
      <c r="B68" s="422"/>
      <c r="C68" s="388" t="s">
        <v>369</v>
      </c>
      <c r="D68" s="388" t="s">
        <v>370</v>
      </c>
      <c r="E68" s="388" t="str">
        <f t="shared" si="15"/>
        <v>Tax on cost adjustments</v>
      </c>
      <c r="F68" s="440"/>
      <c r="G68" s="446">
        <v>0.59000039999999998</v>
      </c>
      <c r="H68" s="446">
        <v>0.58715669999999998</v>
      </c>
      <c r="I68" s="446" t="s">
        <v>530</v>
      </c>
      <c r="J68" s="447" t="str">
        <f t="shared" si="16"/>
        <v>NM</v>
      </c>
      <c r="K68" s="446">
        <v>1.8605026999999998</v>
      </c>
      <c r="L68" s="447">
        <f t="shared" si="17"/>
        <v>-0.68288119119633639</v>
      </c>
      <c r="M68" s="440"/>
      <c r="N68" s="623">
        <v>0.59000039999999998</v>
      </c>
      <c r="O68" s="623">
        <v>0.58715669999999998</v>
      </c>
      <c r="P68" s="447">
        <f t="shared" si="18"/>
        <v>4.8431704858344915E-3</v>
      </c>
      <c r="Q68" s="623">
        <v>1.8605026999999998</v>
      </c>
      <c r="R68" s="447">
        <f t="shared" si="19"/>
        <v>-0.68288119119633639</v>
      </c>
      <c r="S68" s="440"/>
      <c r="T68" s="623">
        <v>9.1171711200000018</v>
      </c>
      <c r="U68" s="447">
        <f t="shared" si="20"/>
        <v>-0.93528690070259424</v>
      </c>
      <c r="V68" s="406"/>
      <c r="W68" s="448">
        <v>0</v>
      </c>
      <c r="X68" s="448" t="e">
        <v>#VALUE!</v>
      </c>
      <c r="Y68" s="406"/>
      <c r="Z68" s="448">
        <v>0</v>
      </c>
      <c r="AA68" s="448">
        <v>0</v>
      </c>
      <c r="AB68" s="406"/>
      <c r="AC68" s="448">
        <v>0</v>
      </c>
      <c r="AD68" s="406"/>
      <c r="AE68" s="446"/>
      <c r="AF68" s="624"/>
      <c r="AG68" s="447"/>
      <c r="AH68" s="453"/>
      <c r="AI68" s="452"/>
      <c r="AJ68" s="452"/>
      <c r="AK68" s="406"/>
      <c r="AL68" s="406"/>
      <c r="AM68" s="446"/>
      <c r="AN68" s="446"/>
      <c r="AO68" s="446"/>
      <c r="AP68" s="406"/>
      <c r="AR68" s="433"/>
      <c r="AS68" s="386"/>
    </row>
    <row r="69" spans="1:45" ht="18.600000000000001" hidden="1" outlineLevel="2" thickBot="1" x14ac:dyDescent="0.55000000000000004">
      <c r="A69" s="625" t="s">
        <v>240</v>
      </c>
      <c r="B69" s="626"/>
      <c r="C69" s="627" t="s">
        <v>371</v>
      </c>
      <c r="D69" s="627" t="s">
        <v>372</v>
      </c>
      <c r="E69" s="639" t="str">
        <f t="shared" si="15"/>
        <v>Adjustments to costs (net of tax)</v>
      </c>
      <c r="F69" s="629"/>
      <c r="G69" s="630">
        <f>G66+G67+G68</f>
        <v>-1.1979996000000108</v>
      </c>
      <c r="H69" s="630">
        <f>H66+H67+H68</f>
        <v>-2.7714890000000203</v>
      </c>
      <c r="I69" s="630" t="e">
        <f>I66+I67+I68</f>
        <v>#VALUE!</v>
      </c>
      <c r="J69" s="631" t="str">
        <f t="shared" si="16"/>
        <v>NM</v>
      </c>
      <c r="K69" s="630">
        <f>K66+K67+K68</f>
        <v>-6.8857613300000207</v>
      </c>
      <c r="L69" s="631">
        <f t="shared" si="17"/>
        <v>-0.82601784427517955</v>
      </c>
      <c r="M69" s="629"/>
      <c r="N69" s="761">
        <f>N66+N67+N68</f>
        <v>-1.1979996000000108</v>
      </c>
      <c r="O69" s="761">
        <f>O66+O67+O68</f>
        <v>-2.7714890000000203</v>
      </c>
      <c r="P69" s="760">
        <f t="shared" si="18"/>
        <v>-0.56774152810997913</v>
      </c>
      <c r="Q69" s="632">
        <f>Q66+Q67+Q68</f>
        <v>-6.8857613300000207</v>
      </c>
      <c r="R69" s="631">
        <f t="shared" si="19"/>
        <v>-0.82601784427517955</v>
      </c>
      <c r="S69" s="629"/>
      <c r="T69" s="761">
        <f>T66+T67+T68</f>
        <v>-12.891900529999923</v>
      </c>
      <c r="U69" s="760">
        <f t="shared" si="20"/>
        <v>-0.90707346855397919</v>
      </c>
      <c r="V69" s="406"/>
      <c r="W69" s="448">
        <v>0</v>
      </c>
      <c r="X69" s="448" t="e">
        <v>#VALUE!</v>
      </c>
      <c r="Y69" s="406"/>
      <c r="Z69" s="448">
        <v>0</v>
      </c>
      <c r="AA69" s="448">
        <v>0.56999999999999995</v>
      </c>
      <c r="AB69" s="406"/>
      <c r="AC69" s="448">
        <v>0</v>
      </c>
      <c r="AD69" s="406"/>
      <c r="AE69" s="630"/>
      <c r="AF69" s="633"/>
      <c r="AG69" s="631"/>
      <c r="AH69" s="634"/>
      <c r="AI69" s="635"/>
      <c r="AJ69" s="635"/>
      <c r="AK69" s="406"/>
      <c r="AL69" s="406"/>
      <c r="AM69" s="630"/>
      <c r="AN69" s="630"/>
      <c r="AO69" s="630"/>
      <c r="AP69" s="406"/>
      <c r="AR69" s="433" t="s">
        <v>373</v>
      </c>
      <c r="AS69" s="386"/>
    </row>
    <row r="70" spans="1:45" ht="18.600000000000001" hidden="1" outlineLevel="2" thickBot="1" x14ac:dyDescent="0.55000000000000004">
      <c r="A70" s="625" t="s">
        <v>453</v>
      </c>
      <c r="B70" s="422"/>
      <c r="C70" s="627" t="s">
        <v>486</v>
      </c>
      <c r="D70" s="627" t="s">
        <v>483</v>
      </c>
      <c r="E70" s="639" t="str">
        <f t="shared" si="15"/>
        <v>Adjustments to Victory Capital/Associates (net of tax)</v>
      </c>
      <c r="F70" s="440"/>
      <c r="G70" s="630">
        <v>-6.5112491900000009</v>
      </c>
      <c r="H70" s="630">
        <v>-4.0945898499999984</v>
      </c>
      <c r="I70" s="630" t="s">
        <v>530</v>
      </c>
      <c r="J70" s="631" t="str">
        <f t="shared" si="16"/>
        <v>NM</v>
      </c>
      <c r="K70" s="630">
        <v>0</v>
      </c>
      <c r="L70" s="631" t="str">
        <f t="shared" si="17"/>
        <v>NM</v>
      </c>
      <c r="M70" s="440"/>
      <c r="N70" s="759">
        <v>-6.5112491900000009</v>
      </c>
      <c r="O70" s="759">
        <v>-4.0945898499999984</v>
      </c>
      <c r="P70" s="760">
        <f t="shared" si="18"/>
        <v>0.59020791545214313</v>
      </c>
      <c r="Q70" s="630">
        <v>0</v>
      </c>
      <c r="R70" s="631" t="str">
        <f t="shared" si="19"/>
        <v>NM</v>
      </c>
      <c r="S70" s="440"/>
      <c r="T70" s="759">
        <v>-6.7217267400000011</v>
      </c>
      <c r="U70" s="760">
        <f t="shared" si="20"/>
        <v>-3.1313017940387211E-2</v>
      </c>
      <c r="V70" s="406"/>
      <c r="W70" s="448">
        <v>0</v>
      </c>
      <c r="X70" s="448" t="e">
        <v>#VALUE!</v>
      </c>
      <c r="Y70" s="406"/>
      <c r="Z70" s="448">
        <v>0</v>
      </c>
      <c r="AA70" s="448">
        <v>0</v>
      </c>
      <c r="AB70" s="406"/>
      <c r="AC70" s="448">
        <v>0</v>
      </c>
      <c r="AD70" s="406"/>
      <c r="AE70" s="630"/>
      <c r="AF70" s="636"/>
      <c r="AG70" s="631"/>
      <c r="AH70" s="634"/>
      <c r="AI70" s="635"/>
      <c r="AJ70" s="635"/>
      <c r="AK70" s="406"/>
      <c r="AL70" s="406"/>
      <c r="AM70" s="630"/>
      <c r="AN70" s="630"/>
      <c r="AO70" s="630"/>
      <c r="AP70" s="406"/>
      <c r="AR70" s="433" t="s">
        <v>374</v>
      </c>
      <c r="AS70" s="386"/>
    </row>
    <row r="71" spans="1:45" ht="18.600000000000001" hidden="1" outlineLevel="2" thickBot="1" x14ac:dyDescent="0.55000000000000004">
      <c r="A71" s="625" t="s">
        <v>454</v>
      </c>
      <c r="B71" s="422"/>
      <c r="C71" s="627" t="s">
        <v>485</v>
      </c>
      <c r="D71" s="627" t="s">
        <v>484</v>
      </c>
      <c r="E71" s="639" t="str">
        <f t="shared" si="15"/>
        <v>Adjustments ICG/Associates (net of tax)</v>
      </c>
      <c r="F71" s="440"/>
      <c r="G71" s="630">
        <v>84.727864449999998</v>
      </c>
      <c r="H71" s="630">
        <v>0</v>
      </c>
      <c r="I71" s="630" t="s">
        <v>530</v>
      </c>
      <c r="J71" s="631" t="str">
        <f>IF(ISERROR($G71*I71),IF($E$5="FR","NS","NM"),IF($G71*I71&gt;0,IF($G71/I71&gt;2,IF($E$5="FR","NS","NM"),$G71/I71-1),IF($E$5="FR","NS","NM")))</f>
        <v>NM</v>
      </c>
      <c r="K71" s="630">
        <v>0</v>
      </c>
      <c r="L71" s="631" t="str">
        <f>IF(ISERROR(G71*K71),IF($E$5="FR","NS","NM"),IF(G71*K71&gt;0,IF(G71/K71&gt;2,IF($E$5="FR","NS","NM"),G71/K71-1),IF($E$5="FR","NS","NM")))</f>
        <v>NM</v>
      </c>
      <c r="M71" s="440"/>
      <c r="N71" s="759">
        <v>84.727864449999998</v>
      </c>
      <c r="O71" s="759"/>
      <c r="P71" s="760" t="str">
        <f>IF(ISERROR($N71*O71),IF($E$5="FR","NS","NM"),IF($N71*O71&gt;0,IF($N71/O71&gt;2,IF($E$5="FR","NS","NM"),$N71/O71-1),IF($E$5="FR","NS","NM")))</f>
        <v>NM</v>
      </c>
      <c r="Q71" s="630">
        <v>0</v>
      </c>
      <c r="R71" s="631" t="str">
        <f>IF(ISERROR($N71*Q71),IF($E$5="FR","NS","NM"),IF($N71*Q71&gt;0,IF($N71/Q71&gt;2,IF($E$5="FR","NS","NM"),$N71/Q71-1),IF($E$5="FR","NS","NM")))</f>
        <v>NM</v>
      </c>
      <c r="S71" s="440"/>
      <c r="T71" s="759"/>
      <c r="U71" s="760" t="str">
        <f>IF(ISERROR($N71*T71),IF($E$5="FR","NS","NM"),IF($N71*T71&gt;0,IF($N71/T71&gt;2,IF($E$5="FR","NS","NM"),$N71/T71-1),IF($E$5="FR","NS","NM")))</f>
        <v>NM</v>
      </c>
      <c r="V71" s="406"/>
      <c r="W71" s="448">
        <v>0</v>
      </c>
      <c r="X71" s="448" t="e">
        <v>#VALUE!</v>
      </c>
      <c r="Y71" s="406"/>
      <c r="Z71" s="448">
        <v>0</v>
      </c>
      <c r="AA71" s="448">
        <v>0</v>
      </c>
      <c r="AB71" s="406"/>
      <c r="AC71" s="448">
        <v>0</v>
      </c>
      <c r="AD71" s="406"/>
      <c r="AE71" s="630"/>
      <c r="AF71" s="636"/>
      <c r="AG71" s="631"/>
      <c r="AH71" s="634"/>
      <c r="AI71" s="635"/>
      <c r="AJ71" s="635"/>
      <c r="AK71" s="406"/>
      <c r="AL71" s="406"/>
      <c r="AM71" s="630"/>
      <c r="AN71" s="630"/>
      <c r="AO71" s="630"/>
      <c r="AP71" s="406"/>
      <c r="AR71" s="433" t="s">
        <v>374</v>
      </c>
      <c r="AS71" s="386"/>
    </row>
    <row r="72" spans="1:45" ht="18" hidden="1" outlineLevel="3" x14ac:dyDescent="0.5">
      <c r="A72" s="380" t="s">
        <v>241</v>
      </c>
      <c r="B72" s="422"/>
      <c r="C72" s="637" t="s">
        <v>375</v>
      </c>
      <c r="D72" s="637" t="s">
        <v>376</v>
      </c>
      <c r="E72" s="638" t="str">
        <f t="shared" si="15"/>
        <v>Capital gain Victory Capital before tax</v>
      </c>
      <c r="F72" s="440"/>
      <c r="G72" s="446">
        <v>0</v>
      </c>
      <c r="H72" s="446">
        <v>0</v>
      </c>
      <c r="I72" s="446" t="s">
        <v>530</v>
      </c>
      <c r="J72" s="447" t="str">
        <f t="shared" si="16"/>
        <v>NM</v>
      </c>
      <c r="K72" s="446">
        <v>0</v>
      </c>
      <c r="L72" s="447" t="str">
        <f t="shared" si="17"/>
        <v>NM</v>
      </c>
      <c r="M72" s="440"/>
      <c r="N72" s="446">
        <v>0</v>
      </c>
      <c r="O72" s="446">
        <v>0</v>
      </c>
      <c r="P72" s="447" t="str">
        <f t="shared" si="18"/>
        <v>NM</v>
      </c>
      <c r="Q72" s="446">
        <v>0</v>
      </c>
      <c r="R72" s="447" t="str">
        <f t="shared" si="19"/>
        <v>NM</v>
      </c>
      <c r="S72" s="440"/>
      <c r="T72" s="446">
        <v>2.04E-4</v>
      </c>
      <c r="U72" s="447" t="str">
        <f t="shared" si="20"/>
        <v>NM</v>
      </c>
      <c r="V72" s="406"/>
      <c r="W72" s="448">
        <v>0</v>
      </c>
      <c r="X72" s="448" t="e">
        <v>#VALUE!</v>
      </c>
      <c r="Y72" s="406"/>
      <c r="Z72" s="448">
        <v>0</v>
      </c>
      <c r="AA72" s="448">
        <v>0</v>
      </c>
      <c r="AB72" s="406"/>
      <c r="AC72" s="448">
        <v>0</v>
      </c>
      <c r="AD72" s="406"/>
      <c r="AE72" s="630"/>
      <c r="AF72" s="636"/>
      <c r="AG72" s="631"/>
      <c r="AH72" s="634"/>
      <c r="AI72" s="635"/>
      <c r="AJ72" s="635"/>
      <c r="AK72" s="406"/>
      <c r="AL72" s="406"/>
      <c r="AM72" s="630"/>
      <c r="AN72" s="630"/>
      <c r="AO72" s="630"/>
      <c r="AP72" s="406"/>
      <c r="AR72" s="433"/>
      <c r="AS72" s="386"/>
    </row>
    <row r="73" spans="1:45" ht="18.600000000000001" hidden="1" outlineLevel="3" thickBot="1" x14ac:dyDescent="0.55000000000000004">
      <c r="A73" s="380" t="s">
        <v>242</v>
      </c>
      <c r="B73" s="422"/>
      <c r="C73" s="637" t="s">
        <v>377</v>
      </c>
      <c r="D73" s="637" t="s">
        <v>378</v>
      </c>
      <c r="E73" s="638" t="str">
        <f t="shared" si="15"/>
        <v xml:space="preserve">Tax on the capital gain from Victory Capital </v>
      </c>
      <c r="F73" s="440"/>
      <c r="G73" s="446">
        <v>0</v>
      </c>
      <c r="H73" s="446">
        <v>1.0317599999999982E-2</v>
      </c>
      <c r="I73" s="446" t="s">
        <v>530</v>
      </c>
      <c r="J73" s="447" t="str">
        <f t="shared" si="16"/>
        <v>NM</v>
      </c>
      <c r="K73" s="446">
        <v>0</v>
      </c>
      <c r="L73" s="447" t="str">
        <f t="shared" si="17"/>
        <v>NM</v>
      </c>
      <c r="M73" s="440"/>
      <c r="N73" s="446">
        <v>0</v>
      </c>
      <c r="O73" s="446">
        <v>1.0317599999999982E-2</v>
      </c>
      <c r="P73" s="447" t="str">
        <f t="shared" si="18"/>
        <v>NM</v>
      </c>
      <c r="Q73" s="446">
        <v>0</v>
      </c>
      <c r="R73" s="447" t="str">
        <f t="shared" si="19"/>
        <v>NM</v>
      </c>
      <c r="S73" s="440"/>
      <c r="T73" s="446">
        <v>0</v>
      </c>
      <c r="U73" s="447" t="str">
        <f t="shared" si="20"/>
        <v>NM</v>
      </c>
      <c r="V73" s="406"/>
      <c r="W73" s="448">
        <v>0</v>
      </c>
      <c r="X73" s="448" t="e">
        <v>#VALUE!</v>
      </c>
      <c r="Y73" s="406"/>
      <c r="Z73" s="448">
        <v>0</v>
      </c>
      <c r="AA73" s="448">
        <v>0</v>
      </c>
      <c r="AB73" s="406"/>
      <c r="AC73" s="448">
        <v>0</v>
      </c>
      <c r="AD73" s="406"/>
      <c r="AE73" s="630"/>
      <c r="AF73" s="636"/>
      <c r="AG73" s="631"/>
      <c r="AH73" s="634"/>
      <c r="AI73" s="635"/>
      <c r="AJ73" s="635"/>
      <c r="AK73" s="406"/>
      <c r="AL73" s="406"/>
      <c r="AM73" s="630"/>
      <c r="AN73" s="630"/>
      <c r="AO73" s="630"/>
      <c r="AP73" s="406"/>
      <c r="AR73" s="433"/>
      <c r="AS73" s="386"/>
    </row>
    <row r="74" spans="1:45" ht="18.600000000000001" hidden="1" outlineLevel="3" thickBot="1" x14ac:dyDescent="0.55000000000000004">
      <c r="A74" s="625" t="s">
        <v>203</v>
      </c>
      <c r="B74" s="422"/>
      <c r="C74" s="627" t="s">
        <v>379</v>
      </c>
      <c r="D74" s="627" t="s">
        <v>380</v>
      </c>
      <c r="E74" s="639" t="str">
        <f t="shared" si="15"/>
        <v>Capital gain Victory Capital after tax</v>
      </c>
      <c r="F74" s="440"/>
      <c r="G74" s="630">
        <v>0</v>
      </c>
      <c r="H74" s="630">
        <v>0</v>
      </c>
      <c r="I74" s="630" t="s">
        <v>530</v>
      </c>
      <c r="J74" s="631" t="str">
        <f t="shared" si="16"/>
        <v>NM</v>
      </c>
      <c r="K74" s="630">
        <v>0</v>
      </c>
      <c r="L74" s="631" t="str">
        <f t="shared" si="17"/>
        <v>NM</v>
      </c>
      <c r="M74" s="440"/>
      <c r="N74" s="759">
        <v>0</v>
      </c>
      <c r="O74" s="759">
        <v>0</v>
      </c>
      <c r="P74" s="760" t="str">
        <f t="shared" si="18"/>
        <v>NM</v>
      </c>
      <c r="Q74" s="630">
        <v>0</v>
      </c>
      <c r="R74" s="631" t="str">
        <f t="shared" si="19"/>
        <v>NM</v>
      </c>
      <c r="S74" s="440"/>
      <c r="T74" s="759">
        <v>2.04E-4</v>
      </c>
      <c r="U74" s="760" t="str">
        <f t="shared" si="20"/>
        <v>NM</v>
      </c>
      <c r="V74" s="406"/>
      <c r="W74" s="448">
        <v>0</v>
      </c>
      <c r="X74" s="448" t="e">
        <v>#VALUE!</v>
      </c>
      <c r="Y74" s="406"/>
      <c r="Z74" s="448">
        <v>0</v>
      </c>
      <c r="AA74" s="448">
        <v>0</v>
      </c>
      <c r="AB74" s="406"/>
      <c r="AC74" s="448">
        <v>0</v>
      </c>
      <c r="AD74" s="406"/>
      <c r="AE74" s="630"/>
      <c r="AF74" s="636"/>
      <c r="AG74" s="631"/>
      <c r="AH74" s="634"/>
      <c r="AI74" s="635"/>
      <c r="AJ74" s="635"/>
      <c r="AK74" s="406"/>
      <c r="AL74" s="406"/>
      <c r="AM74" s="630"/>
      <c r="AN74" s="630"/>
      <c r="AO74" s="630"/>
      <c r="AP74" s="406"/>
      <c r="AR74" s="433"/>
      <c r="AS74" s="386"/>
    </row>
    <row r="75" spans="1:45" ht="18.600000000000001" hidden="1" outlineLevel="2" collapsed="1" thickBot="1" x14ac:dyDescent="0.55000000000000004">
      <c r="A75" s="380" t="s">
        <v>381</v>
      </c>
      <c r="B75" s="422"/>
      <c r="C75" s="627" t="s">
        <v>381</v>
      </c>
      <c r="D75" s="627" t="s">
        <v>381</v>
      </c>
      <c r="E75" s="639" t="str">
        <f t="shared" si="15"/>
        <v>Affrancamento</v>
      </c>
      <c r="F75" s="440"/>
      <c r="G75" s="446">
        <v>0</v>
      </c>
      <c r="H75" s="446">
        <v>0</v>
      </c>
      <c r="I75" s="446" t="s">
        <v>530</v>
      </c>
      <c r="J75" s="447" t="str">
        <f t="shared" si="16"/>
        <v>NM</v>
      </c>
      <c r="K75" s="446">
        <v>0</v>
      </c>
      <c r="L75" s="447" t="str">
        <f t="shared" si="17"/>
        <v>NM</v>
      </c>
      <c r="M75" s="440"/>
      <c r="N75" s="559">
        <v>0</v>
      </c>
      <c r="O75" s="559">
        <v>0</v>
      </c>
      <c r="P75" s="557" t="str">
        <f t="shared" si="18"/>
        <v>NM</v>
      </c>
      <c r="Q75" s="446">
        <v>0</v>
      </c>
      <c r="R75" s="447" t="str">
        <f t="shared" si="19"/>
        <v>NM</v>
      </c>
      <c r="S75" s="440"/>
      <c r="T75" s="559">
        <v>0</v>
      </c>
      <c r="U75" s="557" t="str">
        <f t="shared" si="20"/>
        <v>NM</v>
      </c>
      <c r="V75" s="406"/>
      <c r="W75" s="448">
        <v>0</v>
      </c>
      <c r="X75" s="448" t="e">
        <v>#VALUE!</v>
      </c>
      <c r="Y75" s="406"/>
      <c r="Z75" s="448">
        <v>0</v>
      </c>
      <c r="AA75" s="448">
        <v>0</v>
      </c>
      <c r="AB75" s="406"/>
      <c r="AC75" s="448">
        <v>0</v>
      </c>
      <c r="AD75" s="406"/>
      <c r="AE75" s="630"/>
      <c r="AF75" s="636"/>
      <c r="AG75" s="631"/>
      <c r="AH75" s="634"/>
      <c r="AI75" s="635"/>
      <c r="AJ75" s="635"/>
      <c r="AK75" s="406"/>
      <c r="AL75" s="406"/>
      <c r="AM75" s="630"/>
      <c r="AN75" s="630"/>
      <c r="AO75" s="630"/>
      <c r="AP75" s="406"/>
      <c r="AR75" s="433" t="s">
        <v>374</v>
      </c>
      <c r="AS75" s="386"/>
    </row>
    <row r="76" spans="1:45" ht="18.600000000000001" hidden="1" outlineLevel="2" thickBot="1" x14ac:dyDescent="0.55000000000000004">
      <c r="A76" s="380" t="s">
        <v>243</v>
      </c>
      <c r="B76" s="422"/>
      <c r="C76" s="639" t="s">
        <v>382</v>
      </c>
      <c r="D76" s="639" t="s">
        <v>256</v>
      </c>
      <c r="E76" s="762" t="str">
        <f t="shared" si="15"/>
        <v>Total Revenue adjustments (before tax)</v>
      </c>
      <c r="F76" s="583"/>
      <c r="G76" s="630">
        <v>-88.213647599999987</v>
      </c>
      <c r="H76" s="630">
        <v>-19.789302710000001</v>
      </c>
      <c r="I76" s="630" t="s">
        <v>530</v>
      </c>
      <c r="J76" s="631" t="str">
        <f t="shared" si="16"/>
        <v>NM</v>
      </c>
      <c r="K76" s="630">
        <v>-19.789302710000001</v>
      </c>
      <c r="L76" s="631" t="str">
        <f t="shared" si="17"/>
        <v>NM</v>
      </c>
      <c r="M76" s="629"/>
      <c r="N76" s="764">
        <v>-88.213647599999987</v>
      </c>
      <c r="O76" s="764">
        <v>-19.789302710000001</v>
      </c>
      <c r="P76" s="765" t="str">
        <f t="shared" si="18"/>
        <v>NM</v>
      </c>
      <c r="Q76" s="630">
        <v>-19.789302710000001</v>
      </c>
      <c r="R76" s="631" t="str">
        <f t="shared" si="19"/>
        <v>NM</v>
      </c>
      <c r="S76" s="629"/>
      <c r="T76" s="764">
        <v>-15.9436786</v>
      </c>
      <c r="U76" s="765" t="str">
        <f t="shared" si="20"/>
        <v>NM</v>
      </c>
      <c r="V76" s="406"/>
      <c r="W76" s="448">
        <v>0</v>
      </c>
      <c r="X76" s="448" t="e">
        <v>#VALUE!</v>
      </c>
      <c r="Y76" s="406"/>
      <c r="Z76" s="448">
        <v>0</v>
      </c>
      <c r="AA76" s="448">
        <v>0</v>
      </c>
      <c r="AB76" s="406"/>
      <c r="AC76" s="448">
        <v>0</v>
      </c>
      <c r="AD76" s="406"/>
      <c r="AE76" s="618"/>
      <c r="AF76" s="620"/>
      <c r="AG76" s="640"/>
      <c r="AH76" s="621"/>
      <c r="AI76" s="622"/>
      <c r="AJ76" s="622"/>
      <c r="AK76" s="406"/>
      <c r="AL76" s="406"/>
      <c r="AM76" s="618"/>
      <c r="AN76" s="618"/>
      <c r="AO76" s="618"/>
      <c r="AP76" s="406"/>
      <c r="AS76" s="386"/>
    </row>
    <row r="77" spans="1:45" ht="18.600000000000001" hidden="1" outlineLevel="2" thickBot="1" x14ac:dyDescent="0.55000000000000004">
      <c r="A77" s="380" t="s">
        <v>244</v>
      </c>
      <c r="B77" s="422"/>
      <c r="C77" s="639" t="s">
        <v>383</v>
      </c>
      <c r="D77" s="639" t="s">
        <v>257</v>
      </c>
      <c r="E77" s="763" t="str">
        <f t="shared" si="15"/>
        <v>Total Cost adjustments (before tax)</v>
      </c>
      <c r="F77" s="583"/>
      <c r="G77" s="630">
        <v>-1.7880000000000109</v>
      </c>
      <c r="H77" s="630">
        <v>-3.3586457000000203</v>
      </c>
      <c r="I77" s="630" t="s">
        <v>530</v>
      </c>
      <c r="J77" s="631" t="str">
        <f t="shared" si="16"/>
        <v>NM</v>
      </c>
      <c r="K77" s="630">
        <v>-8.7462640300000203</v>
      </c>
      <c r="L77" s="631">
        <f t="shared" si="17"/>
        <v>-0.79556985772815658</v>
      </c>
      <c r="M77" s="629"/>
      <c r="N77" s="764">
        <v>-1.7880000000000109</v>
      </c>
      <c r="O77" s="764">
        <v>-3.3586457000000203</v>
      </c>
      <c r="P77" s="765">
        <f t="shared" si="18"/>
        <v>-0.46764256795529213</v>
      </c>
      <c r="Q77" s="630">
        <v>-8.7462640300000203</v>
      </c>
      <c r="R77" s="631">
        <f t="shared" si="19"/>
        <v>-0.79556985772815658</v>
      </c>
      <c r="S77" s="629"/>
      <c r="T77" s="764">
        <v>-22.009071649999925</v>
      </c>
      <c r="U77" s="765">
        <f t="shared" si="20"/>
        <v>-0.91876077153849345</v>
      </c>
      <c r="V77" s="406"/>
      <c r="W77" s="448">
        <v>0</v>
      </c>
      <c r="X77" s="448" t="e">
        <v>#VALUE!</v>
      </c>
      <c r="Y77" s="406"/>
      <c r="Z77" s="448">
        <v>0</v>
      </c>
      <c r="AA77" s="448">
        <v>0</v>
      </c>
      <c r="AB77" s="406"/>
      <c r="AC77" s="448">
        <v>0</v>
      </c>
      <c r="AD77" s="406"/>
      <c r="AE77" s="618"/>
      <c r="AF77" s="620"/>
      <c r="AG77" s="640"/>
      <c r="AH77" s="621"/>
      <c r="AI77" s="622"/>
      <c r="AJ77" s="622"/>
      <c r="AK77" s="406"/>
      <c r="AL77" s="406"/>
      <c r="AM77" s="618"/>
      <c r="AN77" s="618"/>
      <c r="AO77" s="618"/>
      <c r="AP77" s="406"/>
      <c r="AS77" s="386"/>
    </row>
    <row r="78" spans="1:45" ht="18.600000000000001" hidden="1" outlineLevel="2" thickBot="1" x14ac:dyDescent="0.55000000000000004">
      <c r="A78" s="380" t="s">
        <v>245</v>
      </c>
      <c r="B78" s="422"/>
      <c r="C78" s="639" t="s">
        <v>384</v>
      </c>
      <c r="D78" s="639" t="s">
        <v>385</v>
      </c>
      <c r="E78" s="763" t="str">
        <f t="shared" si="15"/>
        <v>Total Other items adjustments (before tax)</v>
      </c>
      <c r="F78" s="583"/>
      <c r="G78" s="630">
        <v>78.216615259999998</v>
      </c>
      <c r="H78" s="630">
        <v>-4.0945898499999984</v>
      </c>
      <c r="I78" s="630" t="s">
        <v>530</v>
      </c>
      <c r="J78" s="631" t="str">
        <f t="shared" si="16"/>
        <v>NM</v>
      </c>
      <c r="K78" s="630">
        <v>0</v>
      </c>
      <c r="L78" s="631" t="str">
        <f t="shared" si="17"/>
        <v>NM</v>
      </c>
      <c r="M78" s="629"/>
      <c r="N78" s="764">
        <v>78.216615259999998</v>
      </c>
      <c r="O78" s="764">
        <v>-4.0945898499999984</v>
      </c>
      <c r="P78" s="765" t="str">
        <f t="shared" si="18"/>
        <v>NM</v>
      </c>
      <c r="Q78" s="630">
        <v>0</v>
      </c>
      <c r="R78" s="631" t="str">
        <f t="shared" si="19"/>
        <v>NM</v>
      </c>
      <c r="S78" s="629"/>
      <c r="T78" s="764">
        <v>-6.7215227400000011</v>
      </c>
      <c r="U78" s="765" t="str">
        <f t="shared" si="20"/>
        <v>NM</v>
      </c>
      <c r="V78" s="406"/>
      <c r="W78" s="448">
        <v>0</v>
      </c>
      <c r="X78" s="448" t="e">
        <v>#VALUE!</v>
      </c>
      <c r="Y78" s="406"/>
      <c r="Z78" s="448">
        <v>0</v>
      </c>
      <c r="AA78" s="448">
        <v>0</v>
      </c>
      <c r="AB78" s="406"/>
      <c r="AC78" s="448">
        <v>0</v>
      </c>
      <c r="AD78" s="406"/>
      <c r="AE78" s="618"/>
      <c r="AF78" s="620"/>
      <c r="AG78" s="640"/>
      <c r="AH78" s="621"/>
      <c r="AI78" s="622"/>
      <c r="AJ78" s="622"/>
      <c r="AK78" s="406"/>
      <c r="AL78" s="406"/>
      <c r="AM78" s="618"/>
      <c r="AN78" s="618"/>
      <c r="AO78" s="618"/>
      <c r="AP78" s="406"/>
      <c r="AS78" s="386"/>
    </row>
    <row r="79" spans="1:45" ht="18.600000000000001" hidden="1" outlineLevel="2" thickBot="1" x14ac:dyDescent="0.55000000000000004">
      <c r="A79" s="380" t="s">
        <v>56</v>
      </c>
      <c r="B79" s="422"/>
      <c r="C79" s="639" t="s">
        <v>386</v>
      </c>
      <c r="D79" s="639" t="s">
        <v>259</v>
      </c>
      <c r="E79" s="763" t="str">
        <f t="shared" si="15"/>
        <v>Total Tax adjustments</v>
      </c>
      <c r="F79" s="583"/>
      <c r="G79" s="630">
        <v>6.2266071699999994</v>
      </c>
      <c r="H79" s="630">
        <v>6.7851913599999998</v>
      </c>
      <c r="I79" s="630" t="s">
        <v>530</v>
      </c>
      <c r="J79" s="631" t="str">
        <f t="shared" si="16"/>
        <v>NM</v>
      </c>
      <c r="K79" s="630">
        <v>8.0482197600000003</v>
      </c>
      <c r="L79" s="631">
        <f t="shared" si="17"/>
        <v>-0.22633733226986341</v>
      </c>
      <c r="M79" s="629"/>
      <c r="N79" s="764">
        <v>6.2266071699999994</v>
      </c>
      <c r="O79" s="764">
        <v>6.7851913599999998</v>
      </c>
      <c r="P79" s="765">
        <f t="shared" si="18"/>
        <v>-8.2324014219106734E-2</v>
      </c>
      <c r="Q79" s="630">
        <v>8.0482197600000003</v>
      </c>
      <c r="R79" s="631">
        <f t="shared" si="19"/>
        <v>-0.22633733226986341</v>
      </c>
      <c r="S79" s="629"/>
      <c r="T79" s="764">
        <v>14.72397177</v>
      </c>
      <c r="U79" s="765">
        <f t="shared" si="20"/>
        <v>-0.57711090001634802</v>
      </c>
      <c r="V79" s="406"/>
      <c r="W79" s="448">
        <v>0</v>
      </c>
      <c r="X79" s="448" t="e">
        <v>#VALUE!</v>
      </c>
      <c r="Y79" s="406"/>
      <c r="Z79" s="448">
        <v>0</v>
      </c>
      <c r="AA79" s="448">
        <v>0</v>
      </c>
      <c r="AB79" s="406"/>
      <c r="AC79" s="448">
        <v>0</v>
      </c>
      <c r="AD79" s="406"/>
      <c r="AE79" s="618"/>
      <c r="AF79" s="620"/>
      <c r="AG79" s="640"/>
      <c r="AH79" s="621"/>
      <c r="AI79" s="622"/>
      <c r="AJ79" s="622"/>
      <c r="AK79" s="406"/>
      <c r="AL79" s="406"/>
      <c r="AM79" s="618"/>
      <c r="AN79" s="618"/>
      <c r="AO79" s="618"/>
      <c r="AP79" s="406"/>
      <c r="AS79" s="386"/>
    </row>
    <row r="80" spans="1:45" ht="18.600000000000001" hidden="1" outlineLevel="2" thickBot="1" x14ac:dyDescent="0.55000000000000004">
      <c r="A80" s="380" t="s">
        <v>57</v>
      </c>
      <c r="B80" s="422"/>
      <c r="C80" s="639" t="s">
        <v>387</v>
      </c>
      <c r="D80" s="639" t="s">
        <v>451</v>
      </c>
      <c r="E80" s="763" t="str">
        <f t="shared" si="15"/>
        <v>Total adjustments (net of tax)</v>
      </c>
      <c r="F80" s="629"/>
      <c r="G80" s="630">
        <v>-5.5584251699999925</v>
      </c>
      <c r="H80" s="630">
        <v>-20.487346979999998</v>
      </c>
      <c r="I80" s="630" t="s">
        <v>530</v>
      </c>
      <c r="J80" s="631" t="str">
        <f t="shared" si="16"/>
        <v>NM</v>
      </c>
      <c r="K80" s="630">
        <v>-20.487346980000002</v>
      </c>
      <c r="L80" s="631">
        <f t="shared" si="17"/>
        <v>-0.72868985059772773</v>
      </c>
      <c r="M80" s="629"/>
      <c r="N80" s="764">
        <v>-5.5584251699999925</v>
      </c>
      <c r="O80" s="764">
        <v>-20.487346979999998</v>
      </c>
      <c r="P80" s="765">
        <f t="shared" si="18"/>
        <v>-0.72868985059772773</v>
      </c>
      <c r="Q80" s="630">
        <v>-20.487346980000002</v>
      </c>
      <c r="R80" s="631">
        <f t="shared" si="19"/>
        <v>-0.72868985059772773</v>
      </c>
      <c r="S80" s="629"/>
      <c r="T80" s="764">
        <v>-29.950301220000004</v>
      </c>
      <c r="U80" s="765">
        <f t="shared" si="20"/>
        <v>-0.81441171061450879</v>
      </c>
      <c r="V80" s="406"/>
      <c r="W80" s="448">
        <v>0</v>
      </c>
      <c r="X80" s="448" t="e">
        <v>#VALUE!</v>
      </c>
      <c r="Y80" s="406"/>
      <c r="Z80" s="448">
        <v>0</v>
      </c>
      <c r="AA80" s="448">
        <v>0</v>
      </c>
      <c r="AB80" s="406"/>
      <c r="AC80" s="448">
        <v>0</v>
      </c>
      <c r="AD80" s="406"/>
      <c r="AE80" s="618"/>
      <c r="AF80" s="641"/>
      <c r="AG80" s="640"/>
      <c r="AH80" s="621"/>
      <c r="AI80" s="622"/>
      <c r="AJ80" s="622"/>
      <c r="AK80" s="406"/>
      <c r="AL80" s="406"/>
      <c r="AM80" s="618"/>
      <c r="AN80" s="618"/>
      <c r="AO80" s="618"/>
      <c r="AP80" s="406"/>
      <c r="AS80" s="386"/>
    </row>
    <row r="81" spans="1:45" ht="18" collapsed="1" x14ac:dyDescent="0.5">
      <c r="A81" s="380"/>
      <c r="B81" s="642"/>
      <c r="C81" s="607"/>
      <c r="D81" s="607"/>
      <c r="E81" s="614"/>
      <c r="F81" s="440"/>
      <c r="G81" s="643"/>
      <c r="H81" s="643"/>
      <c r="I81" s="643"/>
      <c r="J81" s="643"/>
      <c r="K81" s="643"/>
      <c r="L81" s="643"/>
      <c r="M81" s="440"/>
      <c r="N81" s="644"/>
      <c r="O81" s="643"/>
      <c r="P81" s="643"/>
      <c r="Q81" s="643"/>
      <c r="R81" s="643"/>
      <c r="S81" s="440"/>
      <c r="T81" s="643"/>
      <c r="U81" s="643"/>
      <c r="V81" s="406"/>
      <c r="W81" s="645"/>
      <c r="X81" s="645"/>
      <c r="Y81" s="406"/>
      <c r="Z81" s="645"/>
      <c r="AA81" s="645"/>
      <c r="AB81" s="406"/>
      <c r="AC81" s="645"/>
      <c r="AD81" s="406"/>
      <c r="AE81" s="643"/>
      <c r="AF81" s="646"/>
      <c r="AG81" s="643"/>
      <c r="AH81" s="643"/>
      <c r="AI81" s="643"/>
      <c r="AJ81" s="643"/>
      <c r="AK81" s="406"/>
      <c r="AL81" s="406"/>
      <c r="AM81" s="643"/>
      <c r="AN81" s="643"/>
      <c r="AO81" s="643"/>
      <c r="AP81" s="406"/>
      <c r="AS81" s="386"/>
    </row>
    <row r="82" spans="1:45" ht="19.5" hidden="1" customHeight="1" outlineLevel="3" x14ac:dyDescent="0.5">
      <c r="A82" s="380"/>
      <c r="B82" s="422"/>
      <c r="C82" s="647" t="s">
        <v>388</v>
      </c>
      <c r="D82" s="647" t="s">
        <v>388</v>
      </c>
      <c r="E82" s="617" t="str">
        <f t="shared" ref="E82:E90" si="21">IF($E$5="EN",$D:$D,$C:$C)</f>
        <v>Normalisation</v>
      </c>
      <c r="F82" s="440"/>
      <c r="G82" s="618"/>
      <c r="H82" s="618"/>
      <c r="I82" s="618"/>
      <c r="J82" s="618"/>
      <c r="K82" s="618"/>
      <c r="L82" s="618"/>
      <c r="M82" s="440"/>
      <c r="N82" s="618"/>
      <c r="O82" s="618"/>
      <c r="P82" s="618"/>
      <c r="Q82" s="618"/>
      <c r="R82" s="618"/>
      <c r="S82" s="440"/>
      <c r="T82" s="618"/>
      <c r="U82" s="618"/>
      <c r="V82" s="406"/>
      <c r="W82" s="619"/>
      <c r="X82" s="619"/>
      <c r="Y82" s="406"/>
      <c r="Z82" s="619"/>
      <c r="AA82" s="619"/>
      <c r="AB82" s="406"/>
      <c r="AC82" s="619"/>
      <c r="AD82" s="406"/>
      <c r="AE82" s="618"/>
      <c r="AF82" s="620"/>
      <c r="AG82" s="618"/>
      <c r="AH82" s="618"/>
      <c r="AI82" s="622"/>
      <c r="AJ82" s="622"/>
      <c r="AK82" s="406"/>
      <c r="AL82" s="406"/>
      <c r="AM82" s="618"/>
      <c r="AN82" s="618"/>
      <c r="AO82" s="618"/>
      <c r="AP82" s="406"/>
      <c r="AS82" s="386"/>
    </row>
    <row r="83" spans="1:45" ht="19.5" hidden="1" customHeight="1" outlineLevel="3" x14ac:dyDescent="0.5">
      <c r="A83" s="380" t="s">
        <v>58</v>
      </c>
      <c r="B83" s="422"/>
      <c r="C83" s="388" t="s">
        <v>389</v>
      </c>
      <c r="D83" s="388" t="s">
        <v>95</v>
      </c>
      <c r="E83" s="388" t="str">
        <f t="shared" si="21"/>
        <v>Performance fees - exceptional level</v>
      </c>
      <c r="F83" s="440"/>
      <c r="G83" s="446">
        <v>0</v>
      </c>
      <c r="H83" s="446">
        <v>0</v>
      </c>
      <c r="I83" s="446" t="s">
        <v>530</v>
      </c>
      <c r="J83" s="447" t="str">
        <f t="shared" ref="J83:J90" si="22">IF(ISERROR($G83*I83),IF($E$5="FR","NS","NM"),IF($G83*I83&gt;0,IF($G83/I83&gt;2,IF($E$5="FR","NS","NM"),$G83/I83-1),IF($E$5="FR","NS","NM")))</f>
        <v>NM</v>
      </c>
      <c r="K83" s="446">
        <v>0</v>
      </c>
      <c r="L83" s="447" t="str">
        <f t="shared" ref="L83:L90" si="23">IF(ISERROR(G83*K83),IF($E$5="FR","NS","NM"),IF(G83*K83&gt;0,IF(G83/K83&gt;2,IF($E$5="FR","NS","NM"),G83/K83-1),IF($E$5="FR","NS","NM")))</f>
        <v>NM</v>
      </c>
      <c r="M83" s="440"/>
      <c r="N83" s="446">
        <v>0</v>
      </c>
      <c r="O83" s="446">
        <v>0</v>
      </c>
      <c r="P83" s="447" t="str">
        <f t="shared" ref="P83:P90" si="24">IF(ISERROR($N83*O83),IF($E$5="FR","NS","NM"),IF($N83*O83&gt;0,IF($N83/O83&gt;2,IF($E$5="FR","NS","NM"),$N83/O83-1),IF($E$5="FR","NS","NM")))</f>
        <v>NM</v>
      </c>
      <c r="Q83" s="446">
        <v>0</v>
      </c>
      <c r="R83" s="447" t="str">
        <f t="shared" ref="R83:R90" si="25">IF(ISERROR($N83*Q83),IF($E$5="FR","NS","NM"),IF($N83*Q83&gt;0,IF($N83/Q83&gt;2,IF($E$5="FR","NS","NM"),$N83/Q83-1),IF($E$5="FR","NS","NM")))</f>
        <v>NM</v>
      </c>
      <c r="S83" s="440"/>
      <c r="T83" s="446">
        <v>0</v>
      </c>
      <c r="U83" s="447" t="str">
        <f t="shared" ref="U83:U90" si="26">IF(ISERROR($N83*T83),IF($E$5="FR","NS","NM"),IF($N83*T83&gt;0,IF($N83/T83&gt;2,IF($E$5="FR","NS","NM"),$N83/T83-1),IF($E$5="FR","NS","NM")))</f>
        <v>NM</v>
      </c>
      <c r="V83" s="406"/>
      <c r="W83" s="648"/>
      <c r="X83" s="648"/>
      <c r="Y83" s="406"/>
      <c r="Z83" s="648"/>
      <c r="AA83" s="648"/>
      <c r="AB83" s="406"/>
      <c r="AC83" s="648"/>
      <c r="AD83" s="406"/>
      <c r="AE83" s="446"/>
      <c r="AF83" s="624"/>
      <c r="AG83" s="447"/>
      <c r="AH83" s="446"/>
      <c r="AI83" s="452"/>
      <c r="AJ83" s="452"/>
      <c r="AK83" s="406"/>
      <c r="AL83" s="406"/>
      <c r="AM83" s="446"/>
      <c r="AN83" s="446"/>
      <c r="AO83" s="446"/>
      <c r="AP83" s="406"/>
      <c r="AS83" s="386"/>
    </row>
    <row r="84" spans="1:45" ht="19.5" hidden="1" customHeight="1" outlineLevel="3" x14ac:dyDescent="0.5">
      <c r="A84" s="380" t="s">
        <v>59</v>
      </c>
      <c r="B84" s="422"/>
      <c r="C84" s="388" t="s">
        <v>390</v>
      </c>
      <c r="D84" s="388" t="s">
        <v>391</v>
      </c>
      <c r="E84" s="388" t="str">
        <f t="shared" si="21"/>
        <v>Tax on exceptional level of perf. fees</v>
      </c>
      <c r="F84" s="440"/>
      <c r="G84" s="446">
        <v>0</v>
      </c>
      <c r="H84" s="446">
        <v>0</v>
      </c>
      <c r="I84" s="446" t="s">
        <v>530</v>
      </c>
      <c r="J84" s="447" t="str">
        <f t="shared" si="22"/>
        <v>NM</v>
      </c>
      <c r="K84" s="446">
        <v>0</v>
      </c>
      <c r="L84" s="447" t="str">
        <f t="shared" si="23"/>
        <v>NM</v>
      </c>
      <c r="M84" s="440"/>
      <c r="N84" s="446">
        <v>0</v>
      </c>
      <c r="O84" s="446">
        <v>0</v>
      </c>
      <c r="P84" s="447" t="str">
        <f t="shared" si="24"/>
        <v>NM</v>
      </c>
      <c r="Q84" s="446">
        <v>0</v>
      </c>
      <c r="R84" s="447" t="str">
        <f t="shared" si="25"/>
        <v>NM</v>
      </c>
      <c r="S84" s="440"/>
      <c r="T84" s="446">
        <v>0</v>
      </c>
      <c r="U84" s="447" t="str">
        <f t="shared" si="26"/>
        <v>NM</v>
      </c>
      <c r="V84" s="406"/>
      <c r="W84" s="648"/>
      <c r="X84" s="648"/>
      <c r="Y84" s="406"/>
      <c r="Z84" s="648"/>
      <c r="AA84" s="648"/>
      <c r="AB84" s="406"/>
      <c r="AC84" s="648"/>
      <c r="AD84" s="406"/>
      <c r="AE84" s="446"/>
      <c r="AF84" s="624"/>
      <c r="AG84" s="447"/>
      <c r="AH84" s="446"/>
      <c r="AI84" s="452"/>
      <c r="AJ84" s="452"/>
      <c r="AK84" s="406"/>
      <c r="AL84" s="406"/>
      <c r="AM84" s="446"/>
      <c r="AN84" s="446"/>
      <c r="AO84" s="446"/>
      <c r="AP84" s="406"/>
      <c r="AS84" s="386"/>
    </row>
    <row r="85" spans="1:45" ht="19.5" hidden="1" customHeight="1" outlineLevel="3" x14ac:dyDescent="0.5">
      <c r="A85" s="625" t="s">
        <v>60</v>
      </c>
      <c r="B85" s="626"/>
      <c r="C85" s="627" t="s">
        <v>392</v>
      </c>
      <c r="D85" s="627" t="s">
        <v>97</v>
      </c>
      <c r="E85" s="628" t="str">
        <f t="shared" si="21"/>
        <v>Performance fees - exceptional level, net of tax</v>
      </c>
      <c r="F85" s="629"/>
      <c r="G85" s="630">
        <f>G83+G84</f>
        <v>0</v>
      </c>
      <c r="H85" s="630">
        <f>H83+H84</f>
        <v>0</v>
      </c>
      <c r="I85" s="630" t="e">
        <f>I83+I84</f>
        <v>#VALUE!</v>
      </c>
      <c r="J85" s="631" t="str">
        <f t="shared" si="22"/>
        <v>NM</v>
      </c>
      <c r="K85" s="630">
        <f>K83+K84</f>
        <v>0</v>
      </c>
      <c r="L85" s="631" t="str">
        <f t="shared" si="23"/>
        <v>NM</v>
      </c>
      <c r="M85" s="629"/>
      <c r="N85" s="630">
        <f>N83+N84</f>
        <v>0</v>
      </c>
      <c r="O85" s="630">
        <f>O83+O84</f>
        <v>0</v>
      </c>
      <c r="P85" s="631" t="str">
        <f t="shared" si="24"/>
        <v>NM</v>
      </c>
      <c r="Q85" s="630">
        <f>Q83+Q84</f>
        <v>0</v>
      </c>
      <c r="R85" s="631" t="str">
        <f t="shared" si="25"/>
        <v>NM</v>
      </c>
      <c r="S85" s="629"/>
      <c r="T85" s="630">
        <f>T83+T84</f>
        <v>0</v>
      </c>
      <c r="U85" s="631" t="str">
        <f t="shared" si="26"/>
        <v>NM</v>
      </c>
      <c r="V85" s="406"/>
      <c r="W85" s="448">
        <v>0</v>
      </c>
      <c r="X85" s="448" t="e">
        <v>#VALUE!</v>
      </c>
      <c r="Y85" s="406"/>
      <c r="Z85" s="448">
        <v>0</v>
      </c>
      <c r="AA85" s="448">
        <v>0</v>
      </c>
      <c r="AB85" s="406"/>
      <c r="AC85" s="448">
        <v>0</v>
      </c>
      <c r="AD85" s="406"/>
      <c r="AE85" s="630"/>
      <c r="AF85" s="636"/>
      <c r="AG85" s="631"/>
      <c r="AH85" s="630"/>
      <c r="AI85" s="635"/>
      <c r="AJ85" s="635"/>
      <c r="AK85" s="406"/>
      <c r="AL85" s="406"/>
      <c r="AM85" s="630"/>
      <c r="AN85" s="630"/>
      <c r="AO85" s="630"/>
      <c r="AP85" s="406"/>
      <c r="AS85" s="386"/>
    </row>
    <row r="86" spans="1:45" ht="19.5" hidden="1" customHeight="1" outlineLevel="3" x14ac:dyDescent="0.5">
      <c r="A86" s="380" t="s">
        <v>61</v>
      </c>
      <c r="B86" s="422"/>
      <c r="C86" s="388" t="s">
        <v>393</v>
      </c>
      <c r="D86" s="388" t="s">
        <v>98</v>
      </c>
      <c r="E86" s="388" t="str">
        <f t="shared" si="21"/>
        <v>Cost normalisation from except. level of perf. fees</v>
      </c>
      <c r="F86" s="440"/>
      <c r="G86" s="446">
        <v>0</v>
      </c>
      <c r="H86" s="446">
        <v>0</v>
      </c>
      <c r="I86" s="446" t="s">
        <v>530</v>
      </c>
      <c r="J86" s="447" t="str">
        <f t="shared" si="22"/>
        <v>NM</v>
      </c>
      <c r="K86" s="446">
        <v>0</v>
      </c>
      <c r="L86" s="447" t="str">
        <f t="shared" si="23"/>
        <v>NM</v>
      </c>
      <c r="M86" s="440"/>
      <c r="N86" s="446">
        <v>0</v>
      </c>
      <c r="O86" s="446">
        <v>0</v>
      </c>
      <c r="P86" s="447" t="str">
        <f t="shared" si="24"/>
        <v>NM</v>
      </c>
      <c r="Q86" s="446">
        <v>0</v>
      </c>
      <c r="R86" s="447" t="str">
        <f t="shared" si="25"/>
        <v>NM</v>
      </c>
      <c r="S86" s="440"/>
      <c r="T86" s="446">
        <v>0</v>
      </c>
      <c r="U86" s="447" t="str">
        <f t="shared" si="26"/>
        <v>NM</v>
      </c>
      <c r="V86" s="406"/>
      <c r="W86" s="648"/>
      <c r="X86" s="648"/>
      <c r="Y86" s="406"/>
      <c r="Z86" s="648"/>
      <c r="AA86" s="648"/>
      <c r="AB86" s="406"/>
      <c r="AC86" s="648"/>
      <c r="AD86" s="406"/>
      <c r="AE86" s="446"/>
      <c r="AF86" s="624"/>
      <c r="AG86" s="447"/>
      <c r="AH86" s="446"/>
      <c r="AI86" s="452"/>
      <c r="AJ86" s="452"/>
      <c r="AK86" s="406"/>
      <c r="AL86" s="406"/>
      <c r="AM86" s="446"/>
      <c r="AN86" s="446"/>
      <c r="AO86" s="446"/>
      <c r="AP86" s="406"/>
      <c r="AS86" s="386"/>
    </row>
    <row r="87" spans="1:45" ht="19.5" hidden="1" customHeight="1" outlineLevel="3" x14ac:dyDescent="0.5">
      <c r="A87" s="380" t="s">
        <v>62</v>
      </c>
      <c r="B87" s="422"/>
      <c r="C87" s="388" t="s">
        <v>394</v>
      </c>
      <c r="D87" s="388" t="s">
        <v>99</v>
      </c>
      <c r="E87" s="388" t="str">
        <f t="shared" si="21"/>
        <v>Tax on cost normalisation</v>
      </c>
      <c r="F87" s="440"/>
      <c r="G87" s="446">
        <v>0</v>
      </c>
      <c r="H87" s="446">
        <v>0</v>
      </c>
      <c r="I87" s="446" t="s">
        <v>530</v>
      </c>
      <c r="J87" s="447" t="str">
        <f t="shared" si="22"/>
        <v>NM</v>
      </c>
      <c r="K87" s="446">
        <v>0</v>
      </c>
      <c r="L87" s="447" t="str">
        <f t="shared" si="23"/>
        <v>NM</v>
      </c>
      <c r="M87" s="440"/>
      <c r="N87" s="446">
        <v>0</v>
      </c>
      <c r="O87" s="446">
        <v>0</v>
      </c>
      <c r="P87" s="447" t="str">
        <f t="shared" si="24"/>
        <v>NM</v>
      </c>
      <c r="Q87" s="446">
        <v>0</v>
      </c>
      <c r="R87" s="447" t="str">
        <f t="shared" si="25"/>
        <v>NM</v>
      </c>
      <c r="S87" s="440"/>
      <c r="T87" s="446">
        <v>0</v>
      </c>
      <c r="U87" s="447" t="str">
        <f t="shared" si="26"/>
        <v>NM</v>
      </c>
      <c r="V87" s="406"/>
      <c r="W87" s="648"/>
      <c r="X87" s="648"/>
      <c r="Y87" s="406"/>
      <c r="Z87" s="648"/>
      <c r="AA87" s="648"/>
      <c r="AB87" s="406"/>
      <c r="AC87" s="648"/>
      <c r="AD87" s="406"/>
      <c r="AE87" s="446"/>
      <c r="AF87" s="624"/>
      <c r="AG87" s="447"/>
      <c r="AH87" s="446"/>
      <c r="AI87" s="452"/>
      <c r="AJ87" s="452"/>
      <c r="AK87" s="406"/>
      <c r="AL87" s="406"/>
      <c r="AM87" s="446"/>
      <c r="AN87" s="446"/>
      <c r="AO87" s="446"/>
      <c r="AP87" s="406"/>
      <c r="AS87" s="386"/>
    </row>
    <row r="88" spans="1:45" ht="19.5" hidden="1" customHeight="1" outlineLevel="3" thickBot="1" x14ac:dyDescent="0.55000000000000004">
      <c r="A88" s="625" t="s">
        <v>63</v>
      </c>
      <c r="B88" s="626"/>
      <c r="C88" s="627" t="s">
        <v>395</v>
      </c>
      <c r="D88" s="627" t="s">
        <v>100</v>
      </c>
      <c r="E88" s="628" t="str">
        <f t="shared" si="21"/>
        <v>Cost normalisation, net of tax</v>
      </c>
      <c r="F88" s="629"/>
      <c r="G88" s="630">
        <f>G86+G87</f>
        <v>0</v>
      </c>
      <c r="H88" s="630">
        <f>H86+H87</f>
        <v>0</v>
      </c>
      <c r="I88" s="630" t="e">
        <f>I86+I87</f>
        <v>#VALUE!</v>
      </c>
      <c r="J88" s="631" t="str">
        <f t="shared" si="22"/>
        <v>NM</v>
      </c>
      <c r="K88" s="630">
        <f>K86+K87</f>
        <v>0</v>
      </c>
      <c r="L88" s="631" t="str">
        <f t="shared" si="23"/>
        <v>NM</v>
      </c>
      <c r="M88" s="629"/>
      <c r="N88" s="630">
        <f>N86+N87</f>
        <v>0</v>
      </c>
      <c r="O88" s="630">
        <f>O86+O87</f>
        <v>0</v>
      </c>
      <c r="P88" s="631" t="str">
        <f t="shared" si="24"/>
        <v>NM</v>
      </c>
      <c r="Q88" s="630">
        <f>Q86+Q87</f>
        <v>0</v>
      </c>
      <c r="R88" s="631" t="str">
        <f t="shared" si="25"/>
        <v>NM</v>
      </c>
      <c r="S88" s="629"/>
      <c r="T88" s="630">
        <f>T86+T87</f>
        <v>0</v>
      </c>
      <c r="U88" s="631" t="str">
        <f t="shared" si="26"/>
        <v>NM</v>
      </c>
      <c r="V88" s="406"/>
      <c r="W88" s="448">
        <v>0</v>
      </c>
      <c r="X88" s="448" t="e">
        <v>#VALUE!</v>
      </c>
      <c r="Y88" s="406"/>
      <c r="Z88" s="448">
        <v>0</v>
      </c>
      <c r="AA88" s="448">
        <v>0</v>
      </c>
      <c r="AB88" s="406"/>
      <c r="AC88" s="448">
        <v>0</v>
      </c>
      <c r="AD88" s="406"/>
      <c r="AE88" s="630"/>
      <c r="AF88" s="636"/>
      <c r="AG88" s="631"/>
      <c r="AH88" s="630"/>
      <c r="AI88" s="635"/>
      <c r="AJ88" s="635"/>
      <c r="AK88" s="406"/>
      <c r="AL88" s="406"/>
      <c r="AM88" s="630"/>
      <c r="AN88" s="630"/>
      <c r="AO88" s="630"/>
      <c r="AP88" s="406"/>
      <c r="AS88" s="386"/>
    </row>
    <row r="89" spans="1:45" ht="20.25" hidden="1" customHeight="1" outlineLevel="3" thickBot="1" x14ac:dyDescent="0.55000000000000004">
      <c r="A89" s="380" t="s">
        <v>64</v>
      </c>
      <c r="B89" s="422"/>
      <c r="C89" s="649" t="s">
        <v>101</v>
      </c>
      <c r="D89" s="649" t="s">
        <v>101</v>
      </c>
      <c r="E89" s="617" t="str">
        <f t="shared" si="21"/>
        <v>Total tax normalisation</v>
      </c>
      <c r="F89" s="466"/>
      <c r="G89" s="618">
        <f t="shared" ref="G89:I90" si="27">G84+G87</f>
        <v>0</v>
      </c>
      <c r="H89" s="618">
        <f t="shared" si="27"/>
        <v>0</v>
      </c>
      <c r="I89" s="618" t="e">
        <f t="shared" si="27"/>
        <v>#VALUE!</v>
      </c>
      <c r="J89" s="640" t="str">
        <f t="shared" si="22"/>
        <v>NM</v>
      </c>
      <c r="K89" s="618">
        <f>K84+K87</f>
        <v>0</v>
      </c>
      <c r="L89" s="640" t="str">
        <f t="shared" si="23"/>
        <v>NM</v>
      </c>
      <c r="M89" s="466"/>
      <c r="N89" s="618">
        <f>N84+N87</f>
        <v>0</v>
      </c>
      <c r="O89" s="618">
        <f>O84+O87</f>
        <v>0</v>
      </c>
      <c r="P89" s="640" t="str">
        <f t="shared" si="24"/>
        <v>NM</v>
      </c>
      <c r="Q89" s="618">
        <f>Q84+Q87</f>
        <v>0</v>
      </c>
      <c r="R89" s="640" t="str">
        <f t="shared" si="25"/>
        <v>NM</v>
      </c>
      <c r="S89" s="466"/>
      <c r="T89" s="618">
        <f>T84+T87</f>
        <v>0</v>
      </c>
      <c r="U89" s="640" t="str">
        <f t="shared" si="26"/>
        <v>NM</v>
      </c>
      <c r="V89" s="406"/>
      <c r="W89" s="650">
        <v>0</v>
      </c>
      <c r="X89" s="650" t="e">
        <v>#VALUE!</v>
      </c>
      <c r="Y89" s="406"/>
      <c r="Z89" s="650">
        <v>0</v>
      </c>
      <c r="AA89" s="650">
        <v>0</v>
      </c>
      <c r="AB89" s="406"/>
      <c r="AC89" s="650">
        <v>0</v>
      </c>
      <c r="AD89" s="406"/>
      <c r="AE89" s="618"/>
      <c r="AF89" s="620"/>
      <c r="AG89" s="640"/>
      <c r="AH89" s="618"/>
      <c r="AI89" s="622"/>
      <c r="AJ89" s="622"/>
      <c r="AK89" s="406"/>
      <c r="AL89" s="406"/>
      <c r="AM89" s="618"/>
      <c r="AN89" s="618"/>
      <c r="AO89" s="618"/>
      <c r="AP89" s="406"/>
      <c r="AS89" s="386"/>
    </row>
    <row r="90" spans="1:45" ht="19.5" hidden="1" customHeight="1" outlineLevel="3" x14ac:dyDescent="0.5">
      <c r="A90" s="380" t="s">
        <v>396</v>
      </c>
      <c r="B90" s="422"/>
      <c r="C90" s="647" t="s">
        <v>102</v>
      </c>
      <c r="D90" s="647" t="s">
        <v>102</v>
      </c>
      <c r="E90" s="617" t="str">
        <f t="shared" si="21"/>
        <v>Total normalisation (net)</v>
      </c>
      <c r="F90" s="440"/>
      <c r="G90" s="618">
        <f t="shared" si="27"/>
        <v>0</v>
      </c>
      <c r="H90" s="618">
        <f t="shared" si="27"/>
        <v>0</v>
      </c>
      <c r="I90" s="618" t="e">
        <f t="shared" si="27"/>
        <v>#VALUE!</v>
      </c>
      <c r="J90" s="640" t="str">
        <f t="shared" si="22"/>
        <v>NM</v>
      </c>
      <c r="K90" s="618">
        <f>K85+K88</f>
        <v>0</v>
      </c>
      <c r="L90" s="640" t="str">
        <f t="shared" si="23"/>
        <v>NM</v>
      </c>
      <c r="M90" s="440"/>
      <c r="N90" s="618">
        <f>N85+N88</f>
        <v>0</v>
      </c>
      <c r="O90" s="618">
        <f>O85+O88</f>
        <v>0</v>
      </c>
      <c r="P90" s="640" t="str">
        <f t="shared" si="24"/>
        <v>NM</v>
      </c>
      <c r="Q90" s="618">
        <f>Q85+Q88</f>
        <v>0</v>
      </c>
      <c r="R90" s="640" t="str">
        <f t="shared" si="25"/>
        <v>NM</v>
      </c>
      <c r="S90" s="440"/>
      <c r="T90" s="618">
        <f>T85+T88</f>
        <v>0</v>
      </c>
      <c r="U90" s="640" t="str">
        <f t="shared" si="26"/>
        <v>NM</v>
      </c>
      <c r="V90" s="406"/>
      <c r="W90" s="650">
        <v>0</v>
      </c>
      <c r="X90" s="650" t="e">
        <v>#VALUE!</v>
      </c>
      <c r="Y90" s="406"/>
      <c r="Z90" s="650">
        <v>0</v>
      </c>
      <c r="AA90" s="650">
        <v>0</v>
      </c>
      <c r="AB90" s="406"/>
      <c r="AC90" s="650">
        <v>0</v>
      </c>
      <c r="AD90" s="406"/>
      <c r="AE90" s="618"/>
      <c r="AF90" s="620"/>
      <c r="AG90" s="640"/>
      <c r="AH90" s="618"/>
      <c r="AI90" s="622"/>
      <c r="AJ90" s="622"/>
      <c r="AK90" s="406"/>
      <c r="AL90" s="406"/>
      <c r="AM90" s="618"/>
      <c r="AN90" s="618"/>
      <c r="AO90" s="618"/>
      <c r="AP90" s="406"/>
      <c r="AS90" s="386"/>
    </row>
    <row r="91" spans="1:45" ht="18" collapsed="1" x14ac:dyDescent="0.5">
      <c r="A91" s="380"/>
      <c r="B91" s="642"/>
      <c r="C91" s="607"/>
      <c r="D91" s="607"/>
      <c r="E91" s="614"/>
      <c r="F91" s="440"/>
      <c r="G91" s="643"/>
      <c r="H91" s="643"/>
      <c r="I91" s="643"/>
      <c r="J91" s="643"/>
      <c r="K91" s="643"/>
      <c r="L91" s="643"/>
      <c r="M91" s="440"/>
      <c r="N91" s="643"/>
      <c r="O91" s="643"/>
      <c r="P91" s="643"/>
      <c r="Q91" s="643"/>
      <c r="R91" s="643"/>
      <c r="S91" s="440"/>
      <c r="T91" s="643"/>
      <c r="U91" s="643"/>
      <c r="V91" s="406"/>
      <c r="W91" s="645"/>
      <c r="X91" s="645"/>
      <c r="Y91" s="406"/>
      <c r="Z91" s="645"/>
      <c r="AA91" s="645"/>
      <c r="AB91" s="406"/>
      <c r="AC91" s="645"/>
      <c r="AD91" s="406"/>
      <c r="AE91" s="643"/>
      <c r="AF91" s="646"/>
      <c r="AG91" s="643"/>
      <c r="AH91" s="643"/>
      <c r="AI91" s="643"/>
      <c r="AJ91" s="643"/>
      <c r="AK91" s="406"/>
      <c r="AL91" s="406"/>
      <c r="AM91" s="643"/>
      <c r="AN91" s="643"/>
      <c r="AO91" s="643"/>
      <c r="AP91" s="406"/>
      <c r="AS91" s="386"/>
    </row>
    <row r="92" spans="1:45" ht="18" x14ac:dyDescent="0.5">
      <c r="A92" s="381"/>
      <c r="B92" s="412"/>
      <c r="C92" s="406"/>
      <c r="D92" s="406"/>
      <c r="E92" s="406"/>
      <c r="F92" s="406"/>
      <c r="G92" s="408" t="str">
        <f>$9:$9</f>
        <v>YTD</v>
      </c>
      <c r="H92" s="408"/>
      <c r="I92" s="408"/>
      <c r="J92" s="408"/>
      <c r="K92" s="408"/>
      <c r="L92" s="408"/>
      <c r="M92" s="406"/>
      <c r="N92" s="408" t="str">
        <f>$9:$9</f>
        <v>Quarters</v>
      </c>
      <c r="O92" s="408"/>
      <c r="P92" s="408"/>
      <c r="Q92" s="408"/>
      <c r="R92" s="408"/>
      <c r="S92" s="408"/>
      <c r="T92" s="408"/>
      <c r="U92" s="408"/>
      <c r="V92" s="406"/>
      <c r="W92" s="408" t="str">
        <f>$9:$9</f>
        <v>YTD</v>
      </c>
      <c r="X92" s="408"/>
      <c r="Y92" s="406"/>
      <c r="Z92" s="408" t="str">
        <f>$9:$9</f>
        <v>Quarter</v>
      </c>
      <c r="AA92" s="408"/>
      <c r="AB92" s="408"/>
      <c r="AC92" s="408"/>
      <c r="AD92" s="406"/>
      <c r="AE92" s="409" t="str">
        <f>"Consensus - "&amp;$N$14</f>
        <v>Consensus - Q1 2026</v>
      </c>
      <c r="AF92" s="409"/>
      <c r="AG92" s="409"/>
      <c r="AH92" s="409"/>
      <c r="AI92" s="410"/>
      <c r="AJ92" s="410"/>
      <c r="AK92" s="411"/>
      <c r="AL92" s="411"/>
      <c r="AM92" s="409" t="str">
        <f>"Pre-"&amp;$N94&amp;" consensus"</f>
        <v>Pre-Q1 2026 consensus</v>
      </c>
      <c r="AN92" s="409"/>
      <c r="AO92" s="409"/>
      <c r="AP92" s="384"/>
      <c r="AS92" s="386"/>
    </row>
    <row r="93" spans="1:45" ht="5.85" customHeight="1" x14ac:dyDescent="0.5">
      <c r="A93" s="384"/>
      <c r="B93" s="411"/>
      <c r="C93" s="406"/>
      <c r="D93" s="406"/>
      <c r="E93" s="406"/>
      <c r="F93" s="406"/>
      <c r="G93" s="406"/>
      <c r="H93" s="406"/>
      <c r="I93" s="406"/>
      <c r="J93" s="406"/>
      <c r="K93" s="406"/>
      <c r="L93" s="406"/>
      <c r="M93" s="406"/>
      <c r="N93" s="406"/>
      <c r="O93" s="406"/>
      <c r="P93" s="406"/>
      <c r="Q93" s="406"/>
      <c r="R93" s="406"/>
      <c r="S93" s="406"/>
      <c r="T93" s="406"/>
      <c r="U93" s="406"/>
      <c r="V93" s="406"/>
      <c r="W93" s="406"/>
      <c r="X93" s="406"/>
      <c r="Y93" s="406"/>
      <c r="Z93" s="406"/>
      <c r="AA93" s="406"/>
      <c r="AB93" s="406"/>
      <c r="AC93" s="406"/>
      <c r="AD93" s="406"/>
      <c r="AE93" s="406"/>
      <c r="AF93" s="384"/>
      <c r="AG93" s="406"/>
      <c r="AH93" s="406"/>
      <c r="AI93" s="389"/>
      <c r="AJ93" s="389"/>
      <c r="AK93" s="406"/>
      <c r="AL93" s="406"/>
      <c r="AM93" s="406"/>
      <c r="AN93" s="406"/>
      <c r="AO93" s="406"/>
      <c r="AP93" s="406"/>
      <c r="AS93" s="386"/>
    </row>
    <row r="94" spans="1:45" ht="36.6" thickBot="1" x14ac:dyDescent="0.55000000000000004">
      <c r="A94" s="380"/>
      <c r="B94" s="413">
        <v>2</v>
      </c>
      <c r="C94" s="405" t="s">
        <v>397</v>
      </c>
      <c r="D94" s="405" t="s">
        <v>398</v>
      </c>
      <c r="E94" s="405" t="str">
        <f t="shared" ref="E94:E111" si="28">IF($E$5="EN",$D:$D,$C:$C)</f>
        <v>AuM, net flows (€bn) &amp; Ratios</v>
      </c>
      <c r="F94" s="440"/>
      <c r="G94" s="702" t="str">
        <f t="shared" ref="G94:L94" si="29">$14:$14</f>
        <v>Q1 2026</v>
      </c>
      <c r="H94" s="702" t="e">
        <f t="shared" si="29"/>
        <v>#N/A</v>
      </c>
      <c r="I94" s="702" t="e">
        <f t="shared" si="29"/>
        <v>#N/A</v>
      </c>
      <c r="J94" s="702" t="str">
        <f t="shared" si="29"/>
        <v>% ch.
26/25*</v>
      </c>
      <c r="K94" s="702" t="str">
        <f t="shared" si="29"/>
        <v>Q1 2025</v>
      </c>
      <c r="L94" s="702" t="str">
        <f t="shared" si="29"/>
        <v>% ch.
26/25</v>
      </c>
      <c r="M94" s="440"/>
      <c r="N94" s="702" t="str">
        <f>$14:$14</f>
        <v>Q1 2026</v>
      </c>
      <c r="O94" s="702" t="str">
        <f>$14:$14</f>
        <v>Q1 2025*</v>
      </c>
      <c r="P94" s="702" t="str">
        <f>$14:$14</f>
        <v>% ch.
Q1/Q1*</v>
      </c>
      <c r="Q94" s="702" t="str">
        <f>$14:$14</f>
        <v>Q1 2025</v>
      </c>
      <c r="R94" s="416" t="str">
        <f>$14:$14</f>
        <v>% ch.
Q1/Q1</v>
      </c>
      <c r="S94" s="440"/>
      <c r="T94" s="416" t="str">
        <f>$14:$14</f>
        <v>Q4 2025</v>
      </c>
      <c r="U94" s="416" t="str">
        <f>$14:$14</f>
        <v>% ch.
Q1/Q4</v>
      </c>
      <c r="V94" s="406"/>
      <c r="W94" s="425" t="str">
        <f>$14:$14</f>
        <v>Q1 2026</v>
      </c>
      <c r="X94" s="425" t="e">
        <f>$14:$14</f>
        <v>#N/A</v>
      </c>
      <c r="Y94" s="406"/>
      <c r="Z94" s="425" t="str">
        <f>$14:$14</f>
        <v>Q1 2026</v>
      </c>
      <c r="AA94" s="425" t="str">
        <f>$14:$14</f>
        <v>Q1 2025*</v>
      </c>
      <c r="AB94" s="406"/>
      <c r="AC94" s="425" t="str">
        <f>$14:$14</f>
        <v>Q4 2025</v>
      </c>
      <c r="AD94" s="406"/>
      <c r="AE94" s="703" t="str">
        <f t="shared" ref="AE94:AJ94" si="30">IF($E$5="EN",$13:$13,$12:$12)</f>
        <v>MEAN</v>
      </c>
      <c r="AF94" s="704" t="str">
        <f t="shared" si="30"/>
        <v>#</v>
      </c>
      <c r="AG94" s="703" t="str">
        <f t="shared" si="30"/>
        <v>% diff.</v>
      </c>
      <c r="AH94" s="703" t="str">
        <f t="shared" si="30"/>
        <v>Diff 
in €</v>
      </c>
      <c r="AI94" s="705" t="str">
        <f t="shared" si="30"/>
        <v>MAX</v>
      </c>
      <c r="AJ94" s="705" t="str">
        <f t="shared" si="30"/>
        <v>MIN</v>
      </c>
      <c r="AK94" s="406"/>
      <c r="AL94" s="406"/>
      <c r="AM94" s="703" t="str">
        <f>$14:$14</f>
        <v>2026E</v>
      </c>
      <c r="AN94" s="703" t="str">
        <f>$14:$14</f>
        <v>2027E</v>
      </c>
      <c r="AO94" s="703" t="str">
        <f>$14:$14</f>
        <v>2028E</v>
      </c>
      <c r="AP94" s="406"/>
      <c r="AS94" s="386"/>
    </row>
    <row r="95" spans="1:45" ht="16.5" customHeight="1" x14ac:dyDescent="0.5">
      <c r="A95" s="380" t="s">
        <v>399</v>
      </c>
      <c r="B95" s="422"/>
      <c r="C95" s="388" t="s">
        <v>400</v>
      </c>
      <c r="D95" s="388" t="s">
        <v>401</v>
      </c>
      <c r="E95" s="388" t="str">
        <f t="shared" si="28"/>
        <v>AuM (€bn)</v>
      </c>
      <c r="F95" s="406"/>
      <c r="G95" s="679">
        <v>2398.3278925026639</v>
      </c>
      <c r="H95" s="679">
        <v>2247.1869665021186</v>
      </c>
      <c r="I95" s="680" t="s">
        <v>530</v>
      </c>
      <c r="J95" s="681" t="str">
        <f>IF(ISERROR($G95*I95),IF($E$5="FR","NS","NM"),IF($G95*I95&gt;0,IF($G95/I95&gt;2,IF($E$5="FR","NS","NM"),$G95/I95-1),IF($E$5="FR","NS","NM")))</f>
        <v>NM</v>
      </c>
      <c r="K95" s="679">
        <v>2247.1869665021186</v>
      </c>
      <c r="L95" s="681">
        <f>IF(ISERROR(G95*K95),IF($E$5="FR","NS","NM"),IF(G95*K95&gt;0,IF(G95/K95&gt;2,IF($E$5="FR","NS","NM"),G95/K95-1),IF($E$5="FR","NS","NM")))</f>
        <v>6.7257833128057554E-2</v>
      </c>
      <c r="M95" s="682"/>
      <c r="N95" s="446">
        <v>2398.3278925026639</v>
      </c>
      <c r="O95" s="778">
        <v>2247.1869665021186</v>
      </c>
      <c r="P95" s="651">
        <f>IF(ISERROR($N95*O95),IF($E$5="FR","NS","NM"),IF($N95*O95&gt;0,IF($N95/O95&gt;2,IF($E$5="FR","NS","NM"),$N95/O95-1),IF($E$5="FR","NS","NM")))</f>
        <v>6.7257833128057554E-2</v>
      </c>
      <c r="Q95" s="446">
        <v>2247.1869665021186</v>
      </c>
      <c r="R95" s="651">
        <f>IF(ISERROR($N95*Q95),IF($E$5="FR","NS","NM"),IF($N95*Q95&gt;0,IF($N95/Q95&gt;2,IF($E$5="FR","NS","NM"),$N95/Q95-1),IF($E$5="FR","NS","NM")))</f>
        <v>6.7257833128057554E-2</v>
      </c>
      <c r="S95" s="462"/>
      <c r="T95" s="446">
        <v>2379.9097115659392</v>
      </c>
      <c r="U95" s="447">
        <f>IF(ISERROR($N95*T95),IF($E$5="FR","NS","NM"),IF($N95*T95&gt;0,IF($N95/T95&gt;2,IF($E$5="FR","NS","NM"),$N95/T95-1),IF($E$5="FR","NS","NM")))</f>
        <v>7.7390250761260049E-3</v>
      </c>
      <c r="V95" s="446"/>
      <c r="W95" s="462"/>
      <c r="X95" s="462"/>
      <c r="Y95" s="446"/>
      <c r="Z95" s="462"/>
      <c r="AA95" s="446"/>
      <c r="AB95" s="446"/>
      <c r="AC95" s="446"/>
      <c r="AD95" s="462"/>
      <c r="AE95" s="446">
        <v>2367.039012182066</v>
      </c>
      <c r="AF95" s="633">
        <v>14</v>
      </c>
      <c r="AG95" s="447">
        <f t="shared" ref="AG95:AG102" si="31">IF(ISERROR($N95*AE95),IF($E$5="FR","NS","NM"),IF($N95*AE95&gt;0,IF($N95/AE95&gt;2,IF($E$5="FR","NS","NM"),$N95/AE95-1),IF($E$5="FR","NS","NM")))</f>
        <v>1.3218573990360305E-2</v>
      </c>
      <c r="AH95" s="481">
        <f t="shared" ref="AH95:AH102" si="32">N95-AE95</f>
        <v>31.288880320597855</v>
      </c>
      <c r="AI95" s="452">
        <v>2397.4825999999998</v>
      </c>
      <c r="AJ95" s="452">
        <v>2319.4539774133495</v>
      </c>
      <c r="AK95" s="462"/>
      <c r="AL95" s="462"/>
      <c r="AM95" s="446">
        <v>2433.7725207340009</v>
      </c>
      <c r="AN95" s="446">
        <v>2551.1702291957658</v>
      </c>
      <c r="AO95" s="446">
        <v>2688.7099564075006</v>
      </c>
      <c r="AP95" s="406"/>
      <c r="AR95" s="433" t="str">
        <f>$A:$A</f>
        <v>AuM_Total</v>
      </c>
      <c r="AS95" s="386"/>
    </row>
    <row r="96" spans="1:45" ht="16.5" customHeight="1" x14ac:dyDescent="0.5">
      <c r="A96" s="380" t="s">
        <v>445</v>
      </c>
      <c r="B96" s="422"/>
      <c r="C96" s="388" t="s">
        <v>443</v>
      </c>
      <c r="D96" s="388" t="s">
        <v>444</v>
      </c>
      <c r="E96" s="388" t="str">
        <f t="shared" si="28"/>
        <v>incl: AuM Associates</v>
      </c>
      <c r="F96" s="406"/>
      <c r="G96" s="679">
        <v>412.58916014419077</v>
      </c>
      <c r="H96" s="679">
        <v>0</v>
      </c>
      <c r="I96" s="680" t="s">
        <v>530</v>
      </c>
      <c r="J96" s="681" t="str">
        <f>IF(ISERROR($G96*I96),IF($E$5="FR","NS","NM"),IF($G96*I96&gt;0,IF($G96/I96&gt;2,IF($E$5="FR","NS","NM"),$G96/I96-1),IF($E$5="FR","NS","NM")))</f>
        <v>NM</v>
      </c>
      <c r="K96" s="679">
        <v>361.90798396575991</v>
      </c>
      <c r="L96" s="681">
        <f>IF(ISERROR(G96*K96),IF($E$5="FR","NS","NM"),IF(G96*K96&gt;0,IF(G96/K96&gt;2,IF($E$5="FR","NS","NM"),G96/K96-1),IF($E$5="FR","NS","NM")))</f>
        <v>0.14003884529727806</v>
      </c>
      <c r="M96" s="682"/>
      <c r="N96" s="446">
        <v>412.58916014419077</v>
      </c>
      <c r="O96" s="778">
        <v>0</v>
      </c>
      <c r="P96" s="651" t="str">
        <f>IF(ISERROR($N96*O96),IF($E$5="FR","NS","NM"),IF($N96*O96&gt;0,IF($N96/O96&gt;2,IF($E$5="FR","NS","NM"),$N96/O96-1),IF($E$5="FR","NS","NM")))</f>
        <v>NM</v>
      </c>
      <c r="Q96" s="446">
        <v>361.90798396575991</v>
      </c>
      <c r="R96" s="651">
        <f>IF(ISERROR($N96*Q96),IF($E$5="FR","NS","NM"),IF($N96*Q96&gt;0,IF($N96/Q96&gt;2,IF($E$5="FR","NS","NM"),$N96/Q96-1),IF($E$5="FR","NS","NM")))</f>
        <v>0.14003884529727806</v>
      </c>
      <c r="S96" s="462"/>
      <c r="T96" s="446">
        <v>424.26094079328885</v>
      </c>
      <c r="U96" s="447">
        <f>IF(ISERROR($N96*T96),IF($E$5="FR","NS","NM"),IF($N96*T96&gt;0,IF($N96/T96&gt;2,IF($E$5="FR","NS","NM"),$N96/T96-1),IF($E$5="FR","NS","NM")))</f>
        <v>-2.7510853644160616E-2</v>
      </c>
      <c r="V96" s="446"/>
      <c r="W96" s="462"/>
      <c r="X96" s="462"/>
      <c r="Y96" s="446"/>
      <c r="Z96" s="462"/>
      <c r="AA96" s="446"/>
      <c r="AB96" s="446"/>
      <c r="AC96" s="446"/>
      <c r="AD96" s="462"/>
      <c r="AE96" s="446">
        <v>1952.3273699031504</v>
      </c>
      <c r="AF96" s="633">
        <v>12</v>
      </c>
      <c r="AG96" s="447">
        <f>IF(ISERROR($N96*AE96),IF($E$5="FR","NS","NM"),IF($N96*AE96&gt;0,IF($N96/AE96&gt;2,IF($E$5="FR","NS","NM"),$N96/AE96-1),IF($E$5="FR","NS","NM")))</f>
        <v>-0.78866804486551956</v>
      </c>
      <c r="AH96" s="481">
        <f>N96-AE96</f>
        <v>-1539.7382097589596</v>
      </c>
      <c r="AI96" s="452">
        <v>1969.2440000000001</v>
      </c>
      <c r="AJ96" s="452">
        <v>1933.2623178082549</v>
      </c>
      <c r="AK96" s="462"/>
      <c r="AL96" s="462"/>
      <c r="AM96" s="446">
        <v>1978.4725528877343</v>
      </c>
      <c r="AN96" s="446">
        <v>2045.1056128123471</v>
      </c>
      <c r="AO96" s="446">
        <v>2113.566394325791</v>
      </c>
      <c r="AP96" s="406"/>
      <c r="AR96" s="433" t="s">
        <v>436</v>
      </c>
      <c r="AS96" s="386"/>
    </row>
    <row r="97" spans="1:45" ht="16.5" customHeight="1" x14ac:dyDescent="0.5">
      <c r="A97" s="380" t="s">
        <v>436</v>
      </c>
      <c r="B97" s="422"/>
      <c r="C97" s="388" t="s">
        <v>437</v>
      </c>
      <c r="D97" s="388" t="s">
        <v>438</v>
      </c>
      <c r="E97" s="388" t="str">
        <f t="shared" si="28"/>
        <v>AuM (average) excluding Associates (€bn)</v>
      </c>
      <c r="F97" s="406"/>
      <c r="G97" s="679">
        <v>2006.1709800994915</v>
      </c>
      <c r="H97" s="679">
        <v>1826.0151957712171</v>
      </c>
      <c r="I97" s="680" t="s">
        <v>530</v>
      </c>
      <c r="J97" s="681" t="str">
        <f>IF(ISERROR($G97*I97),IF($E$5="FR","NS","NM"),IF($G97*I97&gt;0,IF($G97/I97&gt;2,IF($E$5="FR","NS","NM"),$G97/I97-1),IF($E$5="FR","NS","NM")))</f>
        <v>NM</v>
      </c>
      <c r="K97" s="679">
        <v>1899.1111505832014</v>
      </c>
      <c r="L97" s="681">
        <f>IF(ISERROR(G97*K97),IF($E$5="FR","NS","NM"),IF(G97*K97&gt;0,IF(G97/K97&gt;2,IF($E$5="FR","NS","NM"),G97/K97-1),IF($E$5="FR","NS","NM")))</f>
        <v>5.6373651159603355E-2</v>
      </c>
      <c r="M97" s="682"/>
      <c r="N97" s="446">
        <v>2006.1709800994915</v>
      </c>
      <c r="O97" s="778">
        <v>1826.0151957712171</v>
      </c>
      <c r="P97" s="651">
        <f>IF(ISERROR($N97*O97),IF($E$5="FR","NS","NM"),IF($N97*O97&gt;0,IF($N97/O97&gt;2,IF($E$5="FR","NS","NM"),$N97/O97-1),IF($E$5="FR","NS","NM")))</f>
        <v>9.8660616157789205E-2</v>
      </c>
      <c r="Q97" s="446">
        <v>1899.1111505832014</v>
      </c>
      <c r="R97" s="651">
        <f>IF(ISERROR($N97*Q97),IF($E$5="FR","NS","NM"),IF($N97*Q97&gt;0,IF($N97/Q97&gt;2,IF($E$5="FR","NS","NM"),$N97/Q97-1),IF($E$5="FR","NS","NM")))</f>
        <v>5.6373651159603355E-2</v>
      </c>
      <c r="S97" s="462"/>
      <c r="T97" s="446">
        <v>1936.6232656604823</v>
      </c>
      <c r="U97" s="447">
        <f>IF(ISERROR($N97*T97),IF($E$5="FR","NS","NM"),IF($N97*T97&gt;0,IF($N97/T97&gt;2,IF($E$5="FR","NS","NM"),$N97/T97-1),IF($E$5="FR","NS","NM")))</f>
        <v>3.591184494795896E-2</v>
      </c>
      <c r="V97" s="446"/>
      <c r="W97" s="462"/>
      <c r="X97" s="462"/>
      <c r="Y97" s="446"/>
      <c r="Z97" s="462"/>
      <c r="AA97" s="446"/>
      <c r="AB97" s="446"/>
      <c r="AC97" s="446"/>
      <c r="AD97" s="462"/>
      <c r="AE97" s="446">
        <v>1952.3273699031504</v>
      </c>
      <c r="AF97" s="633">
        <v>12</v>
      </c>
      <c r="AG97" s="447">
        <f t="shared" si="31"/>
        <v>2.7579191392994806E-2</v>
      </c>
      <c r="AH97" s="481">
        <f t="shared" si="32"/>
        <v>53.84361019634116</v>
      </c>
      <c r="AI97" s="452">
        <v>1969.2440000000001</v>
      </c>
      <c r="AJ97" s="452">
        <v>1933.2623178082549</v>
      </c>
      <c r="AK97" s="462"/>
      <c r="AL97" s="462"/>
      <c r="AM97" s="446">
        <v>1978.4725528877343</v>
      </c>
      <c r="AN97" s="446">
        <v>2045.1056128123471</v>
      </c>
      <c r="AO97" s="446">
        <v>2113.566394325791</v>
      </c>
      <c r="AP97" s="406"/>
      <c r="AR97" s="137" t="s">
        <v>436</v>
      </c>
      <c r="AS97" s="386"/>
    </row>
    <row r="98" spans="1:45" ht="16.5" customHeight="1" x14ac:dyDescent="0.5">
      <c r="A98" s="625" t="s">
        <v>402</v>
      </c>
      <c r="B98" s="626"/>
      <c r="C98" s="652" t="s">
        <v>403</v>
      </c>
      <c r="D98" s="652" t="s">
        <v>404</v>
      </c>
      <c r="E98" s="652" t="str">
        <f t="shared" si="28"/>
        <v>Total net inflows {€bn)</v>
      </c>
      <c r="F98" s="589"/>
      <c r="G98" s="683">
        <v>32.024786334537218</v>
      </c>
      <c r="H98" s="683">
        <v>31.134963699489113</v>
      </c>
      <c r="I98" s="684" t="s">
        <v>530</v>
      </c>
      <c r="J98" s="685"/>
      <c r="K98" s="683">
        <v>31.134963699489113</v>
      </c>
      <c r="L98" s="685"/>
      <c r="M98" s="686"/>
      <c r="N98" s="779">
        <v>32.024786334537218</v>
      </c>
      <c r="O98" s="780">
        <v>31.134963699489113</v>
      </c>
      <c r="P98" s="653"/>
      <c r="Q98" s="779">
        <v>31.134963699489113</v>
      </c>
      <c r="R98" s="653"/>
      <c r="S98" s="781"/>
      <c r="T98" s="779">
        <v>20.925797671728532</v>
      </c>
      <c r="U98" s="653"/>
      <c r="V98" s="630"/>
      <c r="W98" s="781"/>
      <c r="X98" s="781"/>
      <c r="Y98" s="630"/>
      <c r="Z98" s="781"/>
      <c r="AA98" s="630"/>
      <c r="AB98" s="630"/>
      <c r="AC98" s="630"/>
      <c r="AD98" s="781"/>
      <c r="AE98" s="779">
        <v>12.826194811197325</v>
      </c>
      <c r="AF98" s="782">
        <v>14</v>
      </c>
      <c r="AG98" s="783" t="str">
        <f t="shared" si="31"/>
        <v>NM</v>
      </c>
      <c r="AH98" s="784">
        <f t="shared" si="32"/>
        <v>19.198591523339893</v>
      </c>
      <c r="AI98" s="779">
        <v>26.618999999999996</v>
      </c>
      <c r="AJ98" s="779">
        <v>-17.124763969918121</v>
      </c>
      <c r="AK98" s="781"/>
      <c r="AL98" s="781"/>
      <c r="AM98" s="779">
        <v>32.21962414168884</v>
      </c>
      <c r="AN98" s="779">
        <v>60.212401002593801</v>
      </c>
      <c r="AO98" s="779">
        <v>79.959410718612375</v>
      </c>
      <c r="AP98" s="589"/>
      <c r="AQ98" s="654"/>
      <c r="AR98" s="137" t="s">
        <v>402</v>
      </c>
      <c r="AS98" s="386"/>
    </row>
    <row r="99" spans="1:45" ht="16.5" customHeight="1" x14ac:dyDescent="0.5">
      <c r="A99" s="380" t="s">
        <v>446</v>
      </c>
      <c r="B99" s="626"/>
      <c r="C99" s="388" t="s">
        <v>448</v>
      </c>
      <c r="D99" s="388" t="s">
        <v>447</v>
      </c>
      <c r="E99" s="388" t="str">
        <f t="shared" si="28"/>
        <v>incl.: Net inflows - Associates</v>
      </c>
      <c r="F99" s="406"/>
      <c r="G99" s="690">
        <v>3.1401866554205524</v>
      </c>
      <c r="H99" s="690">
        <v>0</v>
      </c>
      <c r="I99" s="688" t="s">
        <v>530</v>
      </c>
      <c r="J99" s="691"/>
      <c r="K99" s="690">
        <v>2.925468621539999</v>
      </c>
      <c r="L99" s="691"/>
      <c r="M99" s="682"/>
      <c r="N99" s="785">
        <v>3.1401866554205524</v>
      </c>
      <c r="O99" s="688" t="s">
        <v>531</v>
      </c>
      <c r="P99" s="534"/>
      <c r="Q99" s="785">
        <v>2.925468621539999</v>
      </c>
      <c r="R99" s="534"/>
      <c r="S99" s="462"/>
      <c r="T99" s="785">
        <v>0.9137702662359739</v>
      </c>
      <c r="U99" s="534"/>
      <c r="V99" s="446"/>
      <c r="W99" s="462"/>
      <c r="X99" s="462"/>
      <c r="Y99" s="446"/>
      <c r="Z99" s="462"/>
      <c r="AA99" s="446"/>
      <c r="AB99" s="446"/>
      <c r="AC99" s="446"/>
      <c r="AD99" s="462"/>
      <c r="AE99" s="785">
        <v>0.74281197480472294</v>
      </c>
      <c r="AF99" s="633">
        <v>13</v>
      </c>
      <c r="AG99" s="447" t="str">
        <f>IF(ISERROR($N99*AE99),IF($E$5="FR","NS","NM"),IF($N99*AE99&gt;0,IF($N99/AE99&gt;2,IF($E$5="FR","NS","NM"),$N99/AE99-1),IF($E$5="FR","NS","NM")))</f>
        <v>NM</v>
      </c>
      <c r="AH99" s="786">
        <f>N99-AE99</f>
        <v>2.3973746806158296</v>
      </c>
      <c r="AI99" s="785">
        <v>8.48</v>
      </c>
      <c r="AJ99" s="785">
        <v>-33.503303969918122</v>
      </c>
      <c r="AK99" s="462"/>
      <c r="AL99" s="462"/>
      <c r="AM99" s="785">
        <v>-9.7335075830431883</v>
      </c>
      <c r="AN99" s="785">
        <v>21.715282735288881</v>
      </c>
      <c r="AO99" s="785">
        <v>24.173641553706236</v>
      </c>
      <c r="AP99" s="406"/>
      <c r="AR99" s="137" t="s">
        <v>446</v>
      </c>
      <c r="AS99" s="386"/>
    </row>
    <row r="100" spans="1:45" ht="16.5" customHeight="1" outlineLevel="1" x14ac:dyDescent="0.5">
      <c r="A100" s="380" t="s">
        <v>405</v>
      </c>
      <c r="B100" s="711"/>
      <c r="C100" s="388" t="s">
        <v>406</v>
      </c>
      <c r="D100" s="388" t="s">
        <v>407</v>
      </c>
      <c r="E100" s="766" t="str">
        <f t="shared" si="28"/>
        <v>Incl. JV</v>
      </c>
      <c r="F100" s="767"/>
      <c r="G100" s="768">
        <v>3.4792800096400005</v>
      </c>
      <c r="H100" s="768">
        <v>2.9254686215400008</v>
      </c>
      <c r="I100" s="769" t="s">
        <v>530</v>
      </c>
      <c r="J100" s="770"/>
      <c r="K100" s="768">
        <v>2.9254686215400008</v>
      </c>
      <c r="L100" s="770"/>
      <c r="M100" s="767"/>
      <c r="N100" s="775">
        <v>3.4792800096400005</v>
      </c>
      <c r="O100" s="776">
        <v>2.9254686215400008</v>
      </c>
      <c r="P100" s="534"/>
      <c r="Q100" s="773">
        <v>2.9254686215400008</v>
      </c>
      <c r="R100" s="774"/>
      <c r="S100" s="787"/>
      <c r="T100" s="773">
        <v>1.6782059222799999</v>
      </c>
      <c r="U100" s="774"/>
      <c r="V100" s="788"/>
      <c r="W100" s="787"/>
      <c r="X100" s="787"/>
      <c r="Y100" s="788"/>
      <c r="Z100" s="787"/>
      <c r="AA100" s="788"/>
      <c r="AB100" s="788"/>
      <c r="AC100" s="788"/>
      <c r="AD100" s="787"/>
      <c r="AE100" s="773">
        <v>0.4699043381665205</v>
      </c>
      <c r="AF100" s="789">
        <v>12</v>
      </c>
      <c r="AG100" s="790" t="str">
        <f t="shared" si="31"/>
        <v>NM</v>
      </c>
      <c r="AH100" s="791">
        <f t="shared" si="32"/>
        <v>3.0093756714734798</v>
      </c>
      <c r="AI100" s="773">
        <v>6.5</v>
      </c>
      <c r="AJ100" s="773">
        <v>-33.03</v>
      </c>
      <c r="AK100" s="787"/>
      <c r="AL100" s="787"/>
      <c r="AM100" s="773">
        <v>-9.8882153559191561</v>
      </c>
      <c r="AN100" s="773">
        <v>20.449593612734279</v>
      </c>
      <c r="AO100" s="773">
        <v>22.415405339544893</v>
      </c>
      <c r="AP100" s="767"/>
      <c r="AQ100" s="771"/>
      <c r="AR100" s="772" t="s">
        <v>405</v>
      </c>
      <c r="AS100" s="386"/>
    </row>
    <row r="101" spans="1:45" ht="16.5" customHeight="1" outlineLevel="1" x14ac:dyDescent="0.5">
      <c r="A101" s="380" t="s">
        <v>408</v>
      </c>
      <c r="B101" s="711"/>
      <c r="C101" s="388" t="s">
        <v>409</v>
      </c>
      <c r="D101" s="388" t="s">
        <v>410</v>
      </c>
      <c r="E101" s="766" t="str">
        <f t="shared" si="28"/>
        <v>Victory Capital - US Distribution</v>
      </c>
      <c r="F101" s="767"/>
      <c r="G101" s="768">
        <v>-0.33909335421944736</v>
      </c>
      <c r="H101" s="768">
        <v>0</v>
      </c>
      <c r="I101" s="769" t="s">
        <v>530</v>
      </c>
      <c r="J101" s="770"/>
      <c r="K101" s="768">
        <v>0</v>
      </c>
      <c r="L101" s="770"/>
      <c r="M101" s="767"/>
      <c r="N101" s="775">
        <v>-0.33909335421944736</v>
      </c>
      <c r="O101" s="688" t="s">
        <v>531</v>
      </c>
      <c r="P101" s="777"/>
      <c r="Q101" s="773">
        <v>0</v>
      </c>
      <c r="R101" s="774"/>
      <c r="S101" s="787"/>
      <c r="T101" s="773">
        <v>-0.7644356560440253</v>
      </c>
      <c r="U101" s="774"/>
      <c r="V101" s="788"/>
      <c r="W101" s="787"/>
      <c r="X101" s="787"/>
      <c r="Y101" s="788"/>
      <c r="Z101" s="787"/>
      <c r="AA101" s="788"/>
      <c r="AB101" s="788"/>
      <c r="AC101" s="788"/>
      <c r="AD101" s="787"/>
      <c r="AE101" s="773">
        <v>-2.1858032128070842E-2</v>
      </c>
      <c r="AF101" s="789">
        <v>12</v>
      </c>
      <c r="AG101" s="790" t="str">
        <f t="shared" si="31"/>
        <v>NM</v>
      </c>
      <c r="AH101" s="791">
        <f t="shared" si="32"/>
        <v>-0.3172353220913765</v>
      </c>
      <c r="AI101" s="773">
        <v>1</v>
      </c>
      <c r="AJ101" s="773">
        <v>-0.5</v>
      </c>
      <c r="AK101" s="787"/>
      <c r="AL101" s="787"/>
      <c r="AM101" s="773">
        <v>0.1119196785521664</v>
      </c>
      <c r="AN101" s="773">
        <v>0.91328248626595188</v>
      </c>
      <c r="AO101" s="773">
        <v>1.3377648244978089</v>
      </c>
      <c r="AP101" s="767"/>
      <c r="AQ101" s="771"/>
      <c r="AR101" s="772" t="s">
        <v>408</v>
      </c>
      <c r="AS101" s="386"/>
    </row>
    <row r="102" spans="1:45" ht="16.5" customHeight="1" outlineLevel="1" x14ac:dyDescent="0.5">
      <c r="A102" s="380" t="s">
        <v>411</v>
      </c>
      <c r="B102" s="422"/>
      <c r="C102" s="655" t="s">
        <v>108</v>
      </c>
      <c r="D102" s="655" t="s">
        <v>108</v>
      </c>
      <c r="E102" s="655" t="str">
        <f t="shared" si="28"/>
        <v>Retail</v>
      </c>
      <c r="F102" s="589"/>
      <c r="G102" s="687">
        <v>13.178495323807759</v>
      </c>
      <c r="H102" s="687">
        <v>0</v>
      </c>
      <c r="I102" s="688" t="s">
        <v>530</v>
      </c>
      <c r="J102" s="689"/>
      <c r="K102" s="687">
        <v>4.8486947778439822</v>
      </c>
      <c r="L102" s="689"/>
      <c r="M102" s="686"/>
      <c r="N102" s="792">
        <v>13.178495323807759</v>
      </c>
      <c r="O102" s="688" t="s">
        <v>531</v>
      </c>
      <c r="P102" s="656"/>
      <c r="Q102" s="792">
        <v>4.8486947778439822</v>
      </c>
      <c r="R102" s="656"/>
      <c r="S102" s="781"/>
      <c r="T102" s="792">
        <v>6.2772468065506422</v>
      </c>
      <c r="U102" s="656"/>
      <c r="V102" s="630"/>
      <c r="W102" s="781"/>
      <c r="X102" s="781"/>
      <c r="Y102" s="630"/>
      <c r="Z102" s="781"/>
      <c r="AA102" s="630"/>
      <c r="AB102" s="630"/>
      <c r="AC102" s="630"/>
      <c r="AD102" s="781"/>
      <c r="AE102" s="792">
        <v>4.553996758186833</v>
      </c>
      <c r="AF102" s="793">
        <v>10</v>
      </c>
      <c r="AG102" s="631" t="str">
        <f t="shared" si="31"/>
        <v>NM</v>
      </c>
      <c r="AH102" s="794">
        <f t="shared" si="32"/>
        <v>8.6244985656209252</v>
      </c>
      <c r="AI102" s="792">
        <v>11.489999999999998</v>
      </c>
      <c r="AJ102" s="792">
        <v>-5.0500000000000007</v>
      </c>
      <c r="AK102" s="781"/>
      <c r="AL102" s="781"/>
      <c r="AM102" s="792">
        <v>16.337464336003475</v>
      </c>
      <c r="AN102" s="792">
        <v>10.191962789508503</v>
      </c>
      <c r="AO102" s="792">
        <v>32.339056800636712</v>
      </c>
      <c r="AP102" s="589"/>
      <c r="AR102" s="657" t="s">
        <v>411</v>
      </c>
      <c r="AS102" s="386"/>
    </row>
    <row r="103" spans="1:45" ht="16.5" customHeight="1" outlineLevel="1" x14ac:dyDescent="0.5">
      <c r="A103" s="380" t="s">
        <v>412</v>
      </c>
      <c r="B103" s="422"/>
      <c r="C103" s="655" t="s">
        <v>450</v>
      </c>
      <c r="D103" s="655" t="s">
        <v>449</v>
      </c>
      <c r="E103" s="655" t="str">
        <f t="shared" si="28"/>
        <v>Institutionals excl. CA &amp; SG insurers</v>
      </c>
      <c r="F103" s="589"/>
      <c r="G103" s="687">
        <v>15.706104355308906</v>
      </c>
      <c r="H103" s="687">
        <v>0</v>
      </c>
      <c r="I103" s="688" t="s">
        <v>530</v>
      </c>
      <c r="J103" s="689"/>
      <c r="K103" s="687">
        <v>23.360800300105129</v>
      </c>
      <c r="L103" s="689"/>
      <c r="M103" s="686"/>
      <c r="N103" s="792">
        <v>8.6968024248589053</v>
      </c>
      <c r="O103" s="688" t="s">
        <v>531</v>
      </c>
      <c r="P103" s="656"/>
      <c r="Q103" s="792">
        <v>23.360800300105129</v>
      </c>
      <c r="R103" s="656"/>
      <c r="S103" s="781"/>
      <c r="T103" s="792">
        <v>11.339254754691918</v>
      </c>
      <c r="U103" s="656"/>
      <c r="V103" s="630"/>
      <c r="W103" s="781"/>
      <c r="X103" s="781"/>
      <c r="Y103" s="630"/>
      <c r="Z103" s="781"/>
      <c r="AA103" s="630"/>
      <c r="AB103" s="630"/>
      <c r="AC103" s="630"/>
      <c r="AD103" s="781"/>
      <c r="AE103" s="792">
        <v>4.8541223579305104</v>
      </c>
      <c r="AF103" s="793">
        <v>10</v>
      </c>
      <c r="AG103" s="631">
        <f>IF(ISERROR($N103*AE103),IF($E$5="FR","NS","NM"),IF($N103*AE103&gt;0,IF($N103/AE103&gt;2,IF($E$5="FR","NS","NM"),$N103/AE103-1),IF($E$5="FR","NS","NM")))</f>
        <v>0.79163230416933072</v>
      </c>
      <c r="AH103" s="794">
        <f>N103-AE103</f>
        <v>3.8426800669283949</v>
      </c>
      <c r="AI103" s="792">
        <v>11.8</v>
      </c>
      <c r="AJ103" s="792">
        <v>0.86624999999999996</v>
      </c>
      <c r="AK103" s="781"/>
      <c r="AL103" s="781"/>
      <c r="AM103" s="792">
        <v>15.685524704163324</v>
      </c>
      <c r="AN103" s="792">
        <v>16.657451904167058</v>
      </c>
      <c r="AO103" s="792">
        <v>17.270362383976764</v>
      </c>
      <c r="AP103" s="589"/>
      <c r="AR103" s="657" t="s">
        <v>412</v>
      </c>
      <c r="AS103" s="386"/>
    </row>
    <row r="104" spans="1:45" ht="16.5" customHeight="1" outlineLevel="1" x14ac:dyDescent="0.5">
      <c r="A104" s="380" t="s">
        <v>413</v>
      </c>
      <c r="B104" s="422"/>
      <c r="C104" s="655" t="s">
        <v>414</v>
      </c>
      <c r="D104" s="655" t="s">
        <v>179</v>
      </c>
      <c r="E104" s="655" t="str">
        <f t="shared" si="28"/>
        <v>CA &amp; SG insurers</v>
      </c>
      <c r="F104" s="589"/>
      <c r="G104" s="687">
        <v>7.0093019304499995</v>
      </c>
      <c r="H104" s="687">
        <v>0</v>
      </c>
      <c r="I104" s="688" t="s">
        <v>530</v>
      </c>
      <c r="J104" s="689"/>
      <c r="K104" s="687">
        <v>3.5581269931699997</v>
      </c>
      <c r="L104" s="689"/>
      <c r="M104" s="686"/>
      <c r="N104" s="792">
        <v>7.0093019304499995</v>
      </c>
      <c r="O104" s="688" t="s">
        <v>531</v>
      </c>
      <c r="P104" s="656"/>
      <c r="Q104" s="792">
        <v>3.5581269931699997</v>
      </c>
      <c r="R104" s="656"/>
      <c r="S104" s="781"/>
      <c r="T104" s="792">
        <v>2.3955258442499998</v>
      </c>
      <c r="U104" s="656"/>
      <c r="V104" s="630"/>
      <c r="W104" s="781"/>
      <c r="X104" s="781"/>
      <c r="Y104" s="630"/>
      <c r="Z104" s="781"/>
      <c r="AA104" s="630"/>
      <c r="AB104" s="630"/>
      <c r="AC104" s="630"/>
      <c r="AD104" s="781"/>
      <c r="AE104" s="792">
        <v>2.1921646631057681</v>
      </c>
      <c r="AF104" s="793">
        <v>12</v>
      </c>
      <c r="AG104" s="631" t="str">
        <f>IF(ISERROR($N104*AE104),IF($E$5="FR","NS","NM"),IF($N104*AE104&gt;0,IF($N104/AE104&gt;2,IF($E$5="FR","NS","NM"),$N104/AE104-1),IF($E$5="FR","NS","NM")))</f>
        <v>NM</v>
      </c>
      <c r="AH104" s="794">
        <f>N104-AE104</f>
        <v>4.817137267344231</v>
      </c>
      <c r="AI104" s="792">
        <v>3.5582000000000003</v>
      </c>
      <c r="AJ104" s="792">
        <v>0</v>
      </c>
      <c r="AK104" s="781"/>
      <c r="AL104" s="781"/>
      <c r="AM104" s="792">
        <v>6.5184159309431218</v>
      </c>
      <c r="AN104" s="792">
        <v>6.5362844730808769</v>
      </c>
      <c r="AO104" s="792">
        <v>6.6561572981973214</v>
      </c>
      <c r="AP104" s="589"/>
      <c r="AR104" s="657" t="s">
        <v>413</v>
      </c>
      <c r="AS104" s="386"/>
    </row>
    <row r="105" spans="1:45" ht="18" hidden="1" outlineLevel="2" x14ac:dyDescent="0.5">
      <c r="A105" s="380" t="s">
        <v>215</v>
      </c>
      <c r="B105" s="422"/>
      <c r="C105" s="637" t="s">
        <v>415</v>
      </c>
      <c r="D105" s="637" t="s">
        <v>216</v>
      </c>
      <c r="E105" s="637" t="str">
        <f t="shared" si="28"/>
        <v>Cost / Income ratio (%)</v>
      </c>
      <c r="F105" s="440"/>
      <c r="G105" s="692">
        <f>IF(G$23*G$29&lt;0,-G$29/G$23,IF($E$5="FR","NS","NM"))</f>
        <v>0.5613487436585104</v>
      </c>
      <c r="H105" s="692">
        <f>IF(H$23*H$29&lt;0,-H$29/H$23,IF($E$5="FR","NS","NM"))</f>
        <v>0.52222003916305648</v>
      </c>
      <c r="I105" s="692" t="e">
        <f>IF(I$23*I$29&lt;0,-I$29/I$23,IF($E$5="FR","NS","NM"))</f>
        <v>#VALUE!</v>
      </c>
      <c r="J105" s="693" t="str">
        <f t="shared" ref="J105:J111" si="33">IF(ISERROR($G105*I105),IF($E$5="FR","NS","NM"),IF($G105*I105&gt;0,IF($G105-I105&gt;1,IF($E$5="FR","NS","NM"),($G105-I105)*100),IF($E$5="FR","NS","NM")))</f>
        <v>NM</v>
      </c>
      <c r="K105" s="692">
        <f>IF(K$23*K$29&lt;0,-K$29/K$23,IF($E$5="FR","NS","NM"))</f>
        <v>0.5450993596736855</v>
      </c>
      <c r="L105" s="693">
        <f t="shared" ref="L105:L111" si="34">IF(ISERROR(G105*K105),IF($E$5="FR","NS","NM"),IF(G105*K105&gt;0,IF(G105-K105&gt;1,IF($E$5="FR","NS","NM"),(G105-K105)*100),IF($E$5="FR","NS","NM")))</f>
        <v>1.6249383984824894</v>
      </c>
      <c r="M105" s="440"/>
      <c r="N105" s="660">
        <f>IF(N$23*N$29&lt;0,-N$29/N$23,IF($E$5="FR","NS","NM"))</f>
        <v>0.5613487436585104</v>
      </c>
      <c r="O105" s="660">
        <f>IF(O$23*O$29&lt;0,-O$29/O$23,IF($E$5="FR","NS","NM"))</f>
        <v>0.52222003916305648</v>
      </c>
      <c r="P105" s="661">
        <f t="shared" ref="P105:P111" si="35">IF(ISERROR($N105*O105),IF($E$5="FR","NS","NM"),IF($N105*O105&gt;0,IF($N105-O105&gt;1,IF($E$5="FR","NS","NM"),($N105-O105)*100),IF($E$5="FR","NS","NM")))</f>
        <v>3.9128704495453914</v>
      </c>
      <c r="Q105" s="660">
        <f>IF(Q$23*Q$29&lt;0,-Q$29/Q$23,IF($E$5="FR","NS","NM"))</f>
        <v>0.5450993596736855</v>
      </c>
      <c r="R105" s="661">
        <f t="shared" ref="R105:R111" si="36">IF(ISERROR($N105*Q105),IF($E$5="FR","NS","NM"),IF($N105*Q105&gt;0,IF($N105-Q105&gt;1,IF($E$5="FR","NS","NM"),($N105-Q105)*100),IF($E$5="FR","NS","NM")))</f>
        <v>1.6249383984824894</v>
      </c>
      <c r="S105" s="795"/>
      <c r="T105" s="660">
        <f>IF(T$23*T$29&lt;0,-T$29/T$23,IF($E$5="FR","NS","NM"))</f>
        <v>0.53452041469967559</v>
      </c>
      <c r="U105" s="661">
        <f t="shared" ref="U105:U111" si="37">IF(ISERROR($N105*T105),IF($E$5="FR","NS","NM"),IF($N105*T105&gt;0,IF($N105-T105&gt;1,IF($E$5="FR","NS","NM"),($N105-T105)*100),IF($E$5="FR","NS","NM")))</f>
        <v>2.6828328958834802</v>
      </c>
      <c r="V105" s="462"/>
      <c r="W105" s="509"/>
      <c r="X105" s="509"/>
      <c r="Y105" s="462"/>
      <c r="Z105" s="516">
        <v>0</v>
      </c>
      <c r="AA105" s="663">
        <v>0</v>
      </c>
      <c r="AB105" s="462"/>
      <c r="AC105" s="516">
        <v>0</v>
      </c>
      <c r="AD105" s="462"/>
      <c r="AE105" s="660"/>
      <c r="AF105" s="797"/>
      <c r="AG105" s="798"/>
      <c r="AH105" s="796"/>
      <c r="AI105" s="799"/>
      <c r="AJ105" s="799"/>
      <c r="AK105" s="462"/>
      <c r="AL105" s="462"/>
      <c r="AM105" s="660"/>
      <c r="AN105" s="660"/>
      <c r="AO105" s="660"/>
      <c r="AP105" s="406"/>
      <c r="AS105" s="386"/>
    </row>
    <row r="106" spans="1:45" ht="18" x14ac:dyDescent="0.5">
      <c r="A106" s="380" t="s">
        <v>213</v>
      </c>
      <c r="B106" s="422"/>
      <c r="C106" s="658" t="s">
        <v>416</v>
      </c>
      <c r="D106" s="658" t="s">
        <v>495</v>
      </c>
      <c r="E106" s="658" t="str">
        <f t="shared" si="28"/>
        <v>Cost / Income ratio, ajusted (%)</v>
      </c>
      <c r="F106" s="440"/>
      <c r="G106" s="694">
        <f>IF(G$27*G$32&lt;0,-G$32/G$27,IF($E$5="FR","NS","NM"))</f>
        <v>0.50449680439119871</v>
      </c>
      <c r="H106" s="694">
        <f>IF(H$27*H$32&lt;0,-H$32/H$27,IF($E$5="FR","NS","NM"))</f>
        <v>0.50557557489336491</v>
      </c>
      <c r="I106" s="694" t="e">
        <f>IF(I$27*I$32&lt;0,-I$32/I$27,IF($E$5="FR","NS","NM"))</f>
        <v>#VALUE!</v>
      </c>
      <c r="J106" s="695" t="str">
        <f t="shared" si="33"/>
        <v>NM</v>
      </c>
      <c r="K106" s="694">
        <f>IF(K$27*K$32&lt;0,-K$32/K$27,IF($E$5="FR","NS","NM"))</f>
        <v>0.52368597869981337</v>
      </c>
      <c r="L106" s="695">
        <f t="shared" si="34"/>
        <v>-1.9189174308614665</v>
      </c>
      <c r="M106" s="440"/>
      <c r="N106" s="659">
        <f>IF(N$27*N$32&lt;0,-N$32/N$27,IF($E$5="FR","NS","NM"))</f>
        <v>0.50449680439119871</v>
      </c>
      <c r="O106" s="659">
        <f>IF(O$27*O$32&lt;0,-O$32/O$27,IF($E$5="FR","NS","NM"))</f>
        <v>0.50557557489336491</v>
      </c>
      <c r="P106" s="662">
        <f t="shared" si="35"/>
        <v>-0.10787705021662042</v>
      </c>
      <c r="Q106" s="659">
        <f>IF(Q$27*Q$32&lt;0,-Q$32/Q$27,IF($E$5="FR","NS","NM"))</f>
        <v>0.52368597869981337</v>
      </c>
      <c r="R106" s="662">
        <f t="shared" si="36"/>
        <v>-1.9189174308614665</v>
      </c>
      <c r="S106" s="795"/>
      <c r="T106" s="659">
        <f>IF(T$27*T$32&lt;0,-T$32/T$27,IF($E$5="FR","NS","NM"))</f>
        <v>0.50056810426432186</v>
      </c>
      <c r="U106" s="662">
        <f t="shared" si="37"/>
        <v>0.39287001268768496</v>
      </c>
      <c r="V106" s="462"/>
      <c r="W106" s="516">
        <v>0</v>
      </c>
      <c r="X106" s="663" t="e">
        <v>#VALUE!</v>
      </c>
      <c r="Y106" s="462"/>
      <c r="Z106" s="516">
        <v>0</v>
      </c>
      <c r="AA106" s="663">
        <v>0</v>
      </c>
      <c r="AB106" s="462"/>
      <c r="AC106" s="516">
        <v>0</v>
      </c>
      <c r="AD106" s="462"/>
      <c r="AE106" s="659">
        <v>0.53377568585063695</v>
      </c>
      <c r="AF106" s="800">
        <v>14</v>
      </c>
      <c r="AG106" s="662">
        <f>IF(ISERROR($N106*AE106),IF($E$5="FR","NS","NM"),IF($N106*AE106&gt;0,IF($N106-AE106&gt;1,IF($E$5="FR","NS","NM"),($N106-AE106)*100),IF($E$5="FR","NS","NM")))</f>
        <v>-2.9278881459438244</v>
      </c>
      <c r="AH106" s="659"/>
      <c r="AI106" s="801">
        <v>0.55920000000000003</v>
      </c>
      <c r="AJ106" s="801">
        <v>0.50538664898762964</v>
      </c>
      <c r="AK106" s="462"/>
      <c r="AL106" s="462"/>
      <c r="AM106" s="659">
        <v>0.5286363907030992</v>
      </c>
      <c r="AN106" s="659">
        <v>0.53234361308618205</v>
      </c>
      <c r="AO106" s="659">
        <v>0.53432203911930487</v>
      </c>
      <c r="AP106" s="406"/>
      <c r="AR106" s="433" t="s">
        <v>340</v>
      </c>
      <c r="AS106" s="386"/>
    </row>
    <row r="107" spans="1:45" ht="19.5" hidden="1" customHeight="1" outlineLevel="1" x14ac:dyDescent="0.5">
      <c r="A107" s="380" t="s">
        <v>341</v>
      </c>
      <c r="B107" s="422"/>
      <c r="C107" s="664" t="s">
        <v>342</v>
      </c>
      <c r="D107" s="664" t="s">
        <v>496</v>
      </c>
      <c r="E107" s="664" t="str">
        <f t="shared" si="28"/>
        <v>Cost / Income ratio, ajusted, normalised (%)</v>
      </c>
      <c r="F107" s="440"/>
      <c r="G107" s="696" t="e">
        <f>IF(#REF!*#REF!&lt;0,-#REF!/#REF!,IF($E$5="FR","NS","NM"))</f>
        <v>#REF!</v>
      </c>
      <c r="H107" s="696" t="e">
        <f>IF(#REF!*#REF!&lt;0,-#REF!/#REF!,IF($E$5="FR","NS","NM"))</f>
        <v>#REF!</v>
      </c>
      <c r="I107" s="696" t="e">
        <f>IF(#REF!*#REF!&lt;0,-#REF!/#REF!,IF($E$5="FR","NS","NM"))</f>
        <v>#REF!</v>
      </c>
      <c r="J107" s="697" t="str">
        <f t="shared" si="33"/>
        <v>NM</v>
      </c>
      <c r="K107" s="696" t="e">
        <f>IF(#REF!*#REF!&lt;0,-#REF!/#REF!,IF($E$5="FR","NS","NM"))</f>
        <v>#REF!</v>
      </c>
      <c r="L107" s="697" t="str">
        <f t="shared" si="34"/>
        <v>NM</v>
      </c>
      <c r="M107" s="440"/>
      <c r="N107" s="665" t="e">
        <f>IF(#REF!*#REF!&lt;0,-#REF!/#REF!,IF($E$5="FR","NS","NM"))</f>
        <v>#REF!</v>
      </c>
      <c r="O107" s="665" t="e">
        <f>IF(#REF!*#REF!&lt;0,-#REF!/#REF!,IF($E$5="FR","NS","NM"))</f>
        <v>#REF!</v>
      </c>
      <c r="P107" s="666" t="str">
        <f t="shared" si="35"/>
        <v>NM</v>
      </c>
      <c r="Q107" s="665" t="e">
        <f>IF(#REF!*#REF!&lt;0,-#REF!/#REF!,IF($E$5="FR","NS","NM"))</f>
        <v>#REF!</v>
      </c>
      <c r="R107" s="666" t="str">
        <f t="shared" si="36"/>
        <v>NM</v>
      </c>
      <c r="S107" s="795"/>
      <c r="T107" s="665" t="e">
        <f>IF(#REF!*#REF!&lt;0,-#REF!/#REF!,IF($E$5="FR","NS","NM"))</f>
        <v>#REF!</v>
      </c>
      <c r="U107" s="666" t="str">
        <f t="shared" si="37"/>
        <v>NM</v>
      </c>
      <c r="V107" s="462"/>
      <c r="W107" s="519" t="e">
        <v>#REF!</v>
      </c>
      <c r="X107" s="519" t="e">
        <v>#REF!</v>
      </c>
      <c r="Y107" s="462"/>
      <c r="Z107" s="519" t="e">
        <v>#REF!</v>
      </c>
      <c r="AA107" s="667" t="e">
        <v>#REF!</v>
      </c>
      <c r="AB107" s="462"/>
      <c r="AC107" s="519" t="e">
        <v>#REF!</v>
      </c>
      <c r="AD107" s="462"/>
      <c r="AE107" s="665">
        <v>0.53377568585063695</v>
      </c>
      <c r="AF107" s="668">
        <v>14</v>
      </c>
      <c r="AG107" s="666" t="str">
        <f>IF(ISERROR($N107*AE107),IF($E$5="FR","NS","NM"),IF($N107*AE107&gt;0,IF($N107-AE107&gt;1,IF($E$5="FR","NS","NM"),($N107-AE107)*100),IF($E$5="FR","NS","NM")))</f>
        <v>NM</v>
      </c>
      <c r="AH107" s="665"/>
      <c r="AI107" s="669">
        <v>0.55920000000000003</v>
      </c>
      <c r="AJ107" s="669">
        <v>0.50538664898762964</v>
      </c>
      <c r="AK107" s="462"/>
      <c r="AL107" s="462"/>
      <c r="AM107" s="665">
        <v>0.5286363907030992</v>
      </c>
      <c r="AN107" s="665">
        <v>0.53234361308618205</v>
      </c>
      <c r="AO107" s="665">
        <v>0.53432203911930487</v>
      </c>
      <c r="AP107" s="406"/>
      <c r="AR107" s="433" t="s">
        <v>340</v>
      </c>
      <c r="AS107" s="386"/>
    </row>
    <row r="108" spans="1:45" ht="19.5" hidden="1" customHeight="1" outlineLevel="1" x14ac:dyDescent="0.5">
      <c r="A108" s="421" t="s">
        <v>417</v>
      </c>
      <c r="B108" s="422"/>
      <c r="C108" s="637" t="s">
        <v>418</v>
      </c>
      <c r="D108" s="637" t="s">
        <v>419</v>
      </c>
      <c r="E108" s="637" t="str">
        <f t="shared" si="28"/>
        <v>Operating margin (%)</v>
      </c>
      <c r="F108" s="440"/>
      <c r="G108" s="698">
        <f>IF(G105&lt;&gt;IF($E$5="FR","NS","NM"),1-G105,IF($E$5="FR","NS","NM"))</f>
        <v>0.4386512563414896</v>
      </c>
      <c r="H108" s="698">
        <f>IF(H105&lt;&gt;IF($E$5="FR","NS","NM"),1-H105,IF($E$5="FR","NS","NM"))</f>
        <v>0.47777996083694352</v>
      </c>
      <c r="I108" s="698" t="e">
        <f>IF(I105&lt;&gt;IF($E$5="FR","NS","NM"),1-I105,IF($E$5="FR","NS","NM"))</f>
        <v>#VALUE!</v>
      </c>
      <c r="J108" s="699" t="str">
        <f t="shared" si="33"/>
        <v>NM</v>
      </c>
      <c r="K108" s="698">
        <f>IF(K105&lt;&gt;IF($E$5="FR","NS","NM"),1-K105,IF($E$5="FR","NS","NM"))</f>
        <v>0.4549006403263145</v>
      </c>
      <c r="L108" s="699">
        <f t="shared" si="34"/>
        <v>-1.6249383984824894</v>
      </c>
      <c r="M108" s="440"/>
      <c r="N108" s="670">
        <f>IF(N105&lt;&gt;IF($E$5="FR","NS","NM"),1-N105,IF($E$5="FR","NS","NM"))</f>
        <v>0.4386512563414896</v>
      </c>
      <c r="O108" s="670">
        <f>IF(O105&lt;&gt;IF($E$5="FR","NS","NM"),1-O105,IF($E$5="FR","NS","NM"))</f>
        <v>0.47777996083694352</v>
      </c>
      <c r="P108" s="671">
        <f t="shared" si="35"/>
        <v>-3.9128704495453914</v>
      </c>
      <c r="Q108" s="670">
        <f>IF(Q105&lt;&gt;IF($E$5="FR","NS","NM"),1-Q105,IF($E$5="FR","NS","NM"))</f>
        <v>0.4549006403263145</v>
      </c>
      <c r="R108" s="671">
        <f t="shared" si="36"/>
        <v>-1.6249383984824894</v>
      </c>
      <c r="S108" s="795"/>
      <c r="T108" s="670">
        <f>IF(T105&lt;&gt;IF($E$5="FR","NS","NM"),1-T105,IF($E$5="FR","NS","NM"))</f>
        <v>0.46547958530032441</v>
      </c>
      <c r="U108" s="671">
        <f t="shared" si="37"/>
        <v>-2.6828328958834802</v>
      </c>
      <c r="V108" s="462"/>
      <c r="W108" s="672">
        <v>0</v>
      </c>
      <c r="X108" s="672" t="e">
        <v>#VALUE!</v>
      </c>
      <c r="Y108" s="462"/>
      <c r="Z108" s="672">
        <v>0</v>
      </c>
      <c r="AA108" s="673">
        <v>0</v>
      </c>
      <c r="AB108" s="462"/>
      <c r="AC108" s="672">
        <v>0</v>
      </c>
      <c r="AD108" s="462"/>
      <c r="AE108" s="670">
        <v>0.46622431414936294</v>
      </c>
      <c r="AF108" s="802">
        <v>14</v>
      </c>
      <c r="AG108" s="671">
        <f>IF(ISERROR($N108*AE108),IF($E$5="FR","NS","NM"),IF($N108*AE108&gt;0,IF($N108-AE108&gt;1,IF($E$5="FR","NS","NM"),($N108-AE108)*100),IF($E$5="FR","NS","NM")))</f>
        <v>-2.7573057807873336</v>
      </c>
      <c r="AH108" s="803"/>
      <c r="AI108" s="670">
        <v>0.49461335101237036</v>
      </c>
      <c r="AJ108" s="670">
        <v>0.44079999999999997</v>
      </c>
      <c r="AK108" s="462"/>
      <c r="AL108" s="462"/>
      <c r="AM108" s="670">
        <v>0.4713636092969008</v>
      </c>
      <c r="AN108" s="670">
        <v>0.46765638691381789</v>
      </c>
      <c r="AO108" s="670">
        <v>0.46567796088069507</v>
      </c>
      <c r="AP108" s="406"/>
      <c r="AR108" s="386" t="s">
        <v>417</v>
      </c>
      <c r="AS108" s="386"/>
    </row>
    <row r="109" spans="1:45" ht="18" hidden="1" outlineLevel="2" x14ac:dyDescent="0.5">
      <c r="A109" s="380" t="s">
        <v>420</v>
      </c>
      <c r="B109" s="422"/>
      <c r="C109" s="638" t="s">
        <v>421</v>
      </c>
      <c r="D109" s="638" t="s">
        <v>422</v>
      </c>
      <c r="E109" s="638" t="str">
        <f t="shared" si="28"/>
        <v>Effective corporate tax rate (%)</v>
      </c>
      <c r="F109" s="428"/>
      <c r="G109" s="700">
        <f>IFERROR(-G49/(G47-G$42-G$43),IF($E$5="FR","NS","NM"))</f>
        <v>0.43380576450534314</v>
      </c>
      <c r="H109" s="700">
        <f>IFERROR(-H49/(H47-H$42-H$43),IF($E$5="FR","NS","NM"))</f>
        <v>0.37577659891025889</v>
      </c>
      <c r="I109" s="700" t="str">
        <f>IFERROR(-I49/(I47-I$42-I$43),IF($E$5="FR","NS","NM"))</f>
        <v>NM</v>
      </c>
      <c r="J109" s="701" t="str">
        <f t="shared" si="33"/>
        <v>NM</v>
      </c>
      <c r="K109" s="700">
        <f>IFERROR(-K49/(K47-K$42-K$43),IF($E$5="FR","NS","NM"))</f>
        <v>0.36631427527113569</v>
      </c>
      <c r="L109" s="701">
        <f t="shared" si="34"/>
        <v>6.7491489234207442</v>
      </c>
      <c r="M109" s="428"/>
      <c r="N109" s="674">
        <f>IFERROR(-N49/(N47-N$42-N$43),IF($E$5="FR","NS","NM"))</f>
        <v>0.35005108366625642</v>
      </c>
      <c r="O109" s="674">
        <f>IFERROR(-O49/(O47-O$42-O$43),IF($E$5="FR","NS","NM"))</f>
        <v>0.37577659891025889</v>
      </c>
      <c r="P109" s="675">
        <f t="shared" si="35"/>
        <v>-2.5725515244002461</v>
      </c>
      <c r="Q109" s="674">
        <f>IFERROR(-Q49/(Q47-Q$42-Q$43),IF($E$5="FR","NS","NM"))</f>
        <v>0.36631427527113569</v>
      </c>
      <c r="R109" s="675">
        <f t="shared" si="36"/>
        <v>-1.6263191604879268</v>
      </c>
      <c r="S109" s="804"/>
      <c r="T109" s="674">
        <f>IFERROR(-T49/(T47-T$42),IF($E$5="FR","NS","NM"))</f>
        <v>0.29263218225535925</v>
      </c>
      <c r="U109" s="675">
        <f t="shared" si="37"/>
        <v>5.7418901410897174</v>
      </c>
      <c r="V109" s="462"/>
      <c r="W109" s="448">
        <v>-0.107</v>
      </c>
      <c r="X109" s="448" t="e">
        <v>#VALUE!</v>
      </c>
      <c r="Y109" s="462"/>
      <c r="Z109" s="448">
        <v>-2.3E-2</v>
      </c>
      <c r="AA109" s="663">
        <v>-1.7000000000000001E-2</v>
      </c>
      <c r="AB109" s="462"/>
      <c r="AC109" s="448">
        <v>0</v>
      </c>
      <c r="AD109" s="462"/>
      <c r="AE109" s="674"/>
      <c r="AF109" s="805"/>
      <c r="AG109" s="806"/>
      <c r="AH109" s="807"/>
      <c r="AI109" s="808"/>
      <c r="AJ109" s="808"/>
      <c r="AK109" s="462"/>
      <c r="AL109" s="462"/>
      <c r="AM109" s="674"/>
      <c r="AN109" s="674"/>
      <c r="AO109" s="674"/>
      <c r="AP109" s="406"/>
      <c r="AR109" s="433"/>
      <c r="AS109" s="386"/>
    </row>
    <row r="110" spans="1:45" ht="18" collapsed="1" x14ac:dyDescent="0.5">
      <c r="A110" s="380" t="s">
        <v>423</v>
      </c>
      <c r="B110" s="422"/>
      <c r="C110" s="658" t="s">
        <v>424</v>
      </c>
      <c r="D110" s="658" t="s">
        <v>497</v>
      </c>
      <c r="E110" s="658" t="str">
        <f t="shared" si="28"/>
        <v>Effective corporate tax rate, ajusted (%)</v>
      </c>
      <c r="F110" s="440"/>
      <c r="G110" s="694">
        <f>IFERROR(-G50/(G48-G$42-G$44),IF($E$5="FR","NS","NM"))</f>
        <v>0.44476540381247498</v>
      </c>
      <c r="H110" s="694">
        <f>IFERROR(-H50/(H48-H$42-H$44),IF($E$5="FR","NS","NM"))</f>
        <v>0.37102201001197194</v>
      </c>
      <c r="I110" s="694" t="str">
        <f>IFERROR(-I50/(I48-I$42-I$44),IF($E$5="FR","NS","NM"))</f>
        <v>NM</v>
      </c>
      <c r="J110" s="695" t="str">
        <f t="shared" si="33"/>
        <v>NM</v>
      </c>
      <c r="K110" s="694">
        <f>IFERROR(-K50/(K48-K$42-K$44),IF($E$5="FR","NS","NM"))</f>
        <v>0.36072274587002756</v>
      </c>
      <c r="L110" s="695">
        <f t="shared" si="34"/>
        <v>8.4042657942447416</v>
      </c>
      <c r="M110" s="440"/>
      <c r="N110" s="659">
        <f>IFERROR(-N50/(N48-N$42-N$44),IF($E$5="FR","NS","NM"))</f>
        <v>0.35991443669329143</v>
      </c>
      <c r="O110" s="659">
        <f>IFERROR(-O50/(O48-O$42-O$44),IF($E$5="FR","NS","NM"))</f>
        <v>0.37102201001197194</v>
      </c>
      <c r="P110" s="662">
        <f t="shared" si="35"/>
        <v>-1.1107573318680508</v>
      </c>
      <c r="Q110" s="659">
        <f>IFERROR(-Q50/(Q48-Q$42-Q$44),IF($E$5="FR","NS","NM"))</f>
        <v>0.36072274587002756</v>
      </c>
      <c r="R110" s="662">
        <f t="shared" si="36"/>
        <v>-8.0830917673613278E-2</v>
      </c>
      <c r="S110" s="795"/>
      <c r="T110" s="659">
        <f>IFERROR(-T50/(T48-T$42),IF($E$5="FR","NS","NM"))</f>
        <v>0.29605141553374631</v>
      </c>
      <c r="U110" s="662">
        <f t="shared" si="37"/>
        <v>6.3863021159545124</v>
      </c>
      <c r="V110" s="462"/>
      <c r="W110" s="663">
        <v>-0.113</v>
      </c>
      <c r="X110" s="663" t="e">
        <v>#VALUE!</v>
      </c>
      <c r="Y110" s="462"/>
      <c r="Z110" s="663"/>
      <c r="AA110" s="663"/>
      <c r="AB110" s="462"/>
      <c r="AC110" s="516"/>
      <c r="AD110" s="462"/>
      <c r="AE110" s="659">
        <v>0.36079862198816065</v>
      </c>
      <c r="AF110" s="809">
        <v>14</v>
      </c>
      <c r="AG110" s="662">
        <f>IF(ISERROR($N110*AE110),IF($E$5="FR","NS","NM"),IF($N110*AE110&gt;0,IF($N110-AE110&gt;1,IF($E$5="FR","NS","NM"),($N110-AE110)*100),IF($E$5="FR","NS","NM")))</f>
        <v>-8.8418529486922193E-2</v>
      </c>
      <c r="AH110" s="659"/>
      <c r="AI110" s="801">
        <v>0.39850924215380362</v>
      </c>
      <c r="AJ110" s="801">
        <v>0.29299999999999998</v>
      </c>
      <c r="AK110" s="462"/>
      <c r="AL110" s="462"/>
      <c r="AM110" s="659">
        <v>0.30255342849050126</v>
      </c>
      <c r="AN110" s="659">
        <v>0.26583517087946384</v>
      </c>
      <c r="AO110" s="659">
        <v>0.26591499562945192</v>
      </c>
      <c r="AP110" s="406"/>
      <c r="AR110" s="433" t="s">
        <v>420</v>
      </c>
      <c r="AS110" s="386"/>
    </row>
    <row r="111" spans="1:45" ht="19.5" hidden="1" customHeight="1" outlineLevel="3" x14ac:dyDescent="0.5">
      <c r="A111" s="380" t="s">
        <v>425</v>
      </c>
      <c r="B111" s="422"/>
      <c r="C111" s="664" t="s">
        <v>426</v>
      </c>
      <c r="D111" s="664" t="s">
        <v>498</v>
      </c>
      <c r="E111" s="664" t="str">
        <f t="shared" si="28"/>
        <v>Effective corporate tax rate, ajusted, normalised (%)</v>
      </c>
      <c r="F111" s="440"/>
      <c r="G111" s="665" t="str">
        <f>IFERROR(-#REF!/(#REF!-G$42),IF($E$5="FR","NS","NM"))</f>
        <v>NM</v>
      </c>
      <c r="H111" s="665" t="str">
        <f>IFERROR(-#REF!/(#REF!-H$42),IF($E$5="FR","NS","NM"))</f>
        <v>NM</v>
      </c>
      <c r="I111" s="665" t="str">
        <f>IFERROR(-#REF!/(#REF!-I$42),IF($E$5="FR","NS","NM"))</f>
        <v>NM</v>
      </c>
      <c r="J111" s="676" t="str">
        <f t="shared" si="33"/>
        <v>NM</v>
      </c>
      <c r="K111" s="665" t="str">
        <f>IFERROR(-#REF!/(#REF!-K$42),IF($E$5="FR","NS","NM"))</f>
        <v>NM</v>
      </c>
      <c r="L111" s="676" t="str">
        <f t="shared" si="34"/>
        <v>NM</v>
      </c>
      <c r="M111" s="440"/>
      <c r="N111" s="665" t="str">
        <f>IFERROR(-#REF!/(#REF!-N$42),IF($E$5="FR","NS","NM"))</f>
        <v>NM</v>
      </c>
      <c r="O111" s="665" t="str">
        <f>IFERROR(-#REF!/(#REF!-O$42),IF($E$5="FR","NS","NM"))</f>
        <v>NM</v>
      </c>
      <c r="P111" s="676" t="str">
        <f t="shared" si="35"/>
        <v>NM</v>
      </c>
      <c r="Q111" s="665" t="str">
        <f>IFERROR(-#REF!/(#REF!-Q$42),IF($E$5="FR","NS","NM"))</f>
        <v>NM</v>
      </c>
      <c r="R111" s="676" t="str">
        <f t="shared" si="36"/>
        <v>NM</v>
      </c>
      <c r="S111" s="440"/>
      <c r="T111" s="665" t="str">
        <f>IFERROR(-#REF!/(#REF!-T$42),IF($E$5="FR","NS","NM"))</f>
        <v>NM</v>
      </c>
      <c r="U111" s="676" t="str">
        <f t="shared" si="37"/>
        <v>NM</v>
      </c>
      <c r="V111" s="406"/>
      <c r="W111" s="519" t="e">
        <v>#VALUE!</v>
      </c>
      <c r="X111" s="519" t="e">
        <v>#VALUE!</v>
      </c>
      <c r="Y111" s="406"/>
      <c r="Z111" s="519" t="e">
        <v>#VALUE!</v>
      </c>
      <c r="AA111" s="519" t="e">
        <v>#VALUE!</v>
      </c>
      <c r="AB111" s="406"/>
      <c r="AC111" s="519" t="e">
        <v>#VALUE!</v>
      </c>
      <c r="AD111" s="406"/>
      <c r="AE111" s="665">
        <v>0.30122103604522904</v>
      </c>
      <c r="AF111" s="668">
        <v>16</v>
      </c>
      <c r="AG111" s="666" t="str">
        <f>IF(ISERROR($N111*AE111),IF($E$5="FR","NS","NM"),IF($N111*AE111&gt;0,IF($N111-AE111&gt;1,IF($E$5="FR","NS","NM"),($N111-AE111)*100),IF($E$5="FR","NS","NM")))</f>
        <v>NM</v>
      </c>
      <c r="AH111" s="665"/>
      <c r="AI111" s="669">
        <v>0.33693328994345695</v>
      </c>
      <c r="AJ111" s="669">
        <v>0.25921205422873994</v>
      </c>
      <c r="AK111" s="406"/>
      <c r="AL111" s="406"/>
      <c r="AM111" s="665">
        <v>0.27587878857912806</v>
      </c>
      <c r="AN111" s="665">
        <v>0.26301062853929708</v>
      </c>
      <c r="AO111" s="665">
        <v>0.26478798753408272</v>
      </c>
      <c r="AP111" s="406"/>
      <c r="AR111" s="433" t="s">
        <v>420</v>
      </c>
      <c r="AS111" s="386"/>
    </row>
    <row r="112" spans="1:45" ht="18" collapsed="1" x14ac:dyDescent="0.5">
      <c r="B112" s="422"/>
      <c r="C112" s="388"/>
      <c r="D112" s="388"/>
      <c r="E112" s="388"/>
      <c r="F112" s="440"/>
      <c r="G112" s="610"/>
      <c r="H112" s="610"/>
      <c r="I112" s="610"/>
      <c r="J112" s="610"/>
      <c r="K112" s="610"/>
      <c r="L112" s="610"/>
      <c r="M112" s="440"/>
      <c r="N112" s="610"/>
      <c r="O112" s="610"/>
      <c r="P112" s="610"/>
      <c r="Q112" s="610"/>
      <c r="R112" s="610"/>
      <c r="S112" s="440"/>
      <c r="T112" s="610"/>
      <c r="U112" s="610"/>
      <c r="V112" s="406"/>
      <c r="W112" s="610"/>
      <c r="X112" s="610"/>
      <c r="Y112" s="406"/>
      <c r="Z112" s="610"/>
      <c r="AA112" s="610"/>
      <c r="AB112" s="406"/>
      <c r="AC112" s="610"/>
      <c r="AD112" s="406"/>
      <c r="AE112" s="610"/>
      <c r="AF112" s="611"/>
      <c r="AG112" s="610"/>
      <c r="AH112" s="610"/>
      <c r="AI112" s="610"/>
      <c r="AJ112" s="610"/>
      <c r="AK112" s="406"/>
      <c r="AL112" s="406"/>
      <c r="AM112" s="610"/>
      <c r="AN112" s="610"/>
      <c r="AO112" s="610"/>
      <c r="AP112" s="406"/>
      <c r="AS112" s="386"/>
    </row>
    <row r="113" spans="1:54" x14ac:dyDescent="0.5">
      <c r="A113" s="380"/>
      <c r="AR113" s="677"/>
      <c r="AT113" s="13"/>
      <c r="AU113" s="13"/>
      <c r="AV113" s="13"/>
      <c r="AW113" s="13"/>
      <c r="AX113" s="13"/>
      <c r="AY113" s="13"/>
      <c r="AZ113" s="13"/>
      <c r="BA113" s="13"/>
      <c r="BB113" s="13"/>
    </row>
    <row r="115" spans="1:54" x14ac:dyDescent="0.5">
      <c r="A115" s="380"/>
      <c r="AR115" s="677"/>
      <c r="AT115" s="13"/>
      <c r="AU115" s="13"/>
      <c r="AV115" s="13"/>
      <c r="AW115" s="13"/>
      <c r="AX115" s="13"/>
      <c r="AY115" s="13"/>
      <c r="AZ115" s="13"/>
      <c r="BA115" s="13"/>
      <c r="BB115" s="13"/>
    </row>
    <row r="238" spans="39:41" ht="27" x14ac:dyDescent="0.75">
      <c r="AM238" s="678"/>
      <c r="AN238" s="678"/>
      <c r="AO238" s="678"/>
    </row>
    <row r="272" ht="32.85" customHeight="1" x14ac:dyDescent="0.5"/>
  </sheetData>
  <conditionalFormatting sqref="AG45">
    <cfRule type="iconSet" priority="2">
      <iconSet iconSet="3Arrows">
        <cfvo type="percent" val="0"/>
        <cfvo type="num" val="-5.0000000000000001E-3" gte="0"/>
        <cfvo type="num" val="5.0000000000000001E-3"/>
      </iconSet>
    </cfRule>
  </conditionalFormatting>
  <conditionalFormatting sqref="AG46">
    <cfRule type="iconSet" priority="1">
      <iconSet iconSet="3Arrows">
        <cfvo type="percent" val="0"/>
        <cfvo type="num" val="-5.0000000000000001E-3" gte="0"/>
        <cfvo type="num" val="5.0000000000000001E-3"/>
      </iconSet>
    </cfRule>
  </conditionalFormatting>
  <conditionalFormatting sqref="AG56 AG48 AG21 AG27 AG35 AG16:AG19 AG42:AG44 AG39:AG40 AG52:AG53">
    <cfRule type="iconSet" priority="5">
      <iconSet iconSet="3Arrows">
        <cfvo type="percent" val="0"/>
        <cfvo type="num" val="-5.0000000000000001E-3" gte="0"/>
        <cfvo type="num" val="5.0000000000000001E-3"/>
      </iconSet>
    </cfRule>
  </conditionalFormatting>
  <dataValidations disablePrompts="1" count="2">
    <dataValidation type="list" allowBlank="1" showInputMessage="1" showErrorMessage="1" sqref="E4" xr:uid="{F99A1B9A-92AE-46B3-8941-183B61D8A867}">
      <formula1>$C$4:$D$4</formula1>
    </dataValidation>
    <dataValidation type="list" allowBlank="1" showInputMessage="1" showErrorMessage="1" sqref="C5:E7" xr:uid="{D9D2368F-D9AC-486F-9749-C3D7183F16FB}">
      <formula1>$A$12:$A$13</formula1>
    </dataValidation>
  </dataValidations>
  <pageMargins left="0.39370078740157483" right="0.39370078740157483" top="0.59055118110236227" bottom="0.39370078740157483" header="0.31496062992125984" footer="0.31496062992125984"/>
  <pageSetup paperSize="9" scale="70" orientation="landscape" r:id="rId1"/>
  <extLst>
    <ext xmlns:x14="http://schemas.microsoft.com/office/spreadsheetml/2009/9/main" uri="{78C0D931-6437-407d-A8EE-F0AAD7539E65}">
      <x14:conditionalFormattings>
        <x14:conditionalFormatting xmlns:xm="http://schemas.microsoft.com/office/excel/2006/main">
          <x14:cfRule type="iconSet" priority="3" id="{F32B2A1A-2A3B-4420-8356-7388C63723FA}">
            <x14:iconSet iconSet="3Arrows" custom="1">
              <x14:cfvo type="percent">
                <xm:f>0</xm:f>
              </x14:cfvo>
              <x14:cfvo type="num" gte="0">
                <xm:f>-0.05</xm:f>
              </x14:cfvo>
              <x14:cfvo type="num">
                <xm:f>0.05</xm:f>
              </x14:cfvo>
              <x14:cfIcon iconSet="3Arrows" iconId="2"/>
              <x14:cfIcon iconSet="3Arrows" iconId="1"/>
              <x14:cfIcon iconSet="3Arrows" iconId="0"/>
            </x14:iconSet>
          </x14:cfRule>
          <xm:sqref>AG37</xm:sqref>
        </x14:conditionalFormatting>
        <x14:conditionalFormatting xmlns:xm="http://schemas.microsoft.com/office/excel/2006/main">
          <x14:cfRule type="iconSet" priority="4" id="{C8A738EB-44E0-4219-96E9-93AC576177C4}">
            <x14:iconSet iconSet="3Arrows" custom="1">
              <x14:cfvo type="percent">
                <xm:f>0</xm:f>
              </x14:cfvo>
              <x14:cfvo type="num" gte="0">
                <xm:f>-5.0000000000000001E-3</xm:f>
              </x14:cfvo>
              <x14:cfvo type="num">
                <xm:f>5.0000000000000001E-3</xm:f>
              </x14:cfvo>
              <x14:cfIcon iconSet="3Arrows" iconId="2"/>
              <x14:cfIcon iconSet="3Arrows" iconId="1"/>
              <x14:cfIcon iconSet="3Arrows" iconId="0"/>
            </x14:iconSet>
          </x14:cfRule>
          <xm:sqref>AG50:AG51 AG32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F96B-92CB-42FC-B7CA-6F0E90EFB263}">
  <sheetPr>
    <pageSetUpPr fitToPage="1"/>
  </sheetPr>
  <dimension ref="A1:AJ69"/>
  <sheetViews>
    <sheetView showGridLines="0" topLeftCell="A11" zoomScaleNormal="100" workbookViewId="0">
      <pane xSplit="4" topLeftCell="I1" activePane="topRight" state="frozen"/>
      <selection activeCell="L26" sqref="L26"/>
      <selection pane="topRight" activeCell="T31" sqref="T31"/>
    </sheetView>
  </sheetViews>
  <sheetFormatPr defaultColWidth="9.125" defaultRowHeight="11.4" outlineLevelRow="1" outlineLevelCol="1" x14ac:dyDescent="0.2"/>
  <cols>
    <col min="1" max="1" width="25.75" hidden="1" customWidth="1" outlineLevel="1"/>
    <col min="2" max="2" width="2.75" customWidth="1" collapsed="1"/>
    <col min="3" max="3" width="58.75" customWidth="1"/>
    <col min="4" max="4" width="2.75" customWidth="1"/>
    <col min="5" max="5" width="16.375" hidden="1" customWidth="1" outlineLevel="1"/>
    <col min="6" max="6" width="10.75" hidden="1" customWidth="1" outlineLevel="1"/>
    <col min="7" max="7" width="10.75" style="32" hidden="1" customWidth="1" outlineLevel="1"/>
    <col min="8" max="8" width="1.875" style="25" hidden="1" customWidth="1" outlineLevel="1"/>
    <col min="9" max="9" width="10.75" customWidth="1" collapsed="1"/>
    <col min="10" max="10" width="9.125" hidden="1" customWidth="1"/>
    <col min="11" max="11" width="8.625" style="32" hidden="1" customWidth="1"/>
    <col min="12" max="12" width="2.75" style="25" hidden="1" customWidth="1"/>
    <col min="13" max="13" width="10.75" customWidth="1"/>
    <col min="14" max="14" width="10.75" style="32" customWidth="1"/>
    <col min="15" max="15" width="2.125" style="32" customWidth="1"/>
    <col min="16" max="17" width="10.75" style="32" customWidth="1"/>
    <col min="18" max="18" width="9" style="25" customWidth="1"/>
    <col min="19" max="19" width="10.75" style="134" customWidth="1"/>
    <col min="20" max="21" width="10.75" customWidth="1"/>
    <col min="22" max="25" width="10.75" style="196" customWidth="1"/>
    <col min="26" max="26" width="10.75" customWidth="1"/>
    <col min="27" max="27" width="3.625" customWidth="1"/>
    <col min="28" max="34" width="10.75" customWidth="1"/>
    <col min="35" max="35" width="4.375" style="134" customWidth="1"/>
  </cols>
  <sheetData>
    <row r="1" spans="1:36" hidden="1" outlineLevel="1" x14ac:dyDescent="0.2">
      <c r="A1" s="134"/>
      <c r="B1" s="134"/>
      <c r="C1" s="3" t="s">
        <v>231</v>
      </c>
      <c r="D1" s="134"/>
      <c r="E1" s="184" t="s">
        <v>230</v>
      </c>
      <c r="F1" s="184" t="s">
        <v>225</v>
      </c>
      <c r="G1" s="158"/>
      <c r="H1" s="159"/>
      <c r="I1" s="3" t="str">
        <f>DateQ</f>
        <v>2026Q1</v>
      </c>
      <c r="J1" s="3" t="str">
        <f>YEAR(EOMONTH(DateRef,-12))&amp;"Q"&amp;MONTH(EOMONTH(DateRef,-12))/3</f>
        <v>2025Q1</v>
      </c>
      <c r="K1" s="158"/>
      <c r="L1" s="159"/>
      <c r="M1" s="184" t="s">
        <v>196</v>
      </c>
      <c r="N1" s="158"/>
      <c r="O1" s="158"/>
      <c r="P1" s="3" t="str">
        <f>YEAR(EOMONTH(DateRef,-3))&amp;"Q"&amp;MONTH(EOMONTH(DateRef,-3))/3</f>
        <v>2025Q4</v>
      </c>
      <c r="Q1" s="158"/>
      <c r="R1" s="159"/>
      <c r="S1" s="184" t="s">
        <v>196</v>
      </c>
      <c r="T1" s="184" t="s">
        <v>225</v>
      </c>
      <c r="U1" s="184" t="s">
        <v>192</v>
      </c>
      <c r="V1" s="333" t="s">
        <v>220</v>
      </c>
      <c r="W1" s="184" t="s">
        <v>191</v>
      </c>
      <c r="X1" s="184" t="s">
        <v>224</v>
      </c>
      <c r="Y1" s="184" t="s">
        <v>190</v>
      </c>
      <c r="Z1" s="184" t="s">
        <v>189</v>
      </c>
      <c r="AA1" s="134"/>
      <c r="AB1" s="160" t="str" cm="1">
        <f t="array" ref="AB1">YEAR(AB$2)&amp;INDEX(TableYtd,MONTH(AB$2),1)</f>
        <v>2025Dec</v>
      </c>
      <c r="AC1" s="160" t="str">
        <f>YEAR(AC2)&amp;"Q"&amp;MONTH(AC2)/3</f>
        <v>2025Q4</v>
      </c>
      <c r="AD1" s="160" t="str" cm="1">
        <f t="array" ref="AD1">YEAR(AD$2)&amp;INDEX(TableYtd,MONTH(AD$2),1)</f>
        <v>2025Sep</v>
      </c>
      <c r="AE1" s="160" t="str">
        <f>YEAR(AE2)&amp;"Q"&amp;MONTH(AE2)/3</f>
        <v>2025Q3</v>
      </c>
      <c r="AF1" s="160" t="s">
        <v>226</v>
      </c>
      <c r="AG1" s="160" t="str">
        <f>YEAR(AG2)&amp;"Q"&amp;MONTH(AG2)/3</f>
        <v>2025Q2</v>
      </c>
      <c r="AH1" s="160" t="str">
        <f>YEAR(AH2)&amp;"Q"&amp;MONTH(AH2)/3</f>
        <v>2025Q1</v>
      </c>
    </row>
    <row r="2" spans="1:36" hidden="1" outlineLevel="1" x14ac:dyDescent="0.2">
      <c r="A2" s="134"/>
      <c r="B2" s="134"/>
      <c r="C2" s="3"/>
      <c r="D2" s="134"/>
      <c r="E2" s="134"/>
      <c r="F2" s="134"/>
      <c r="G2" s="161"/>
      <c r="H2" s="162"/>
      <c r="I2" s="134"/>
      <c r="J2" s="134"/>
      <c r="K2" s="161"/>
      <c r="L2" s="162"/>
      <c r="M2" s="134"/>
      <c r="N2" s="161"/>
      <c r="O2" s="161"/>
      <c r="P2" s="161"/>
      <c r="Q2" s="161"/>
      <c r="R2" s="162"/>
      <c r="T2" s="163">
        <f>EOMONTH(AB2,-9)</f>
        <v>45747</v>
      </c>
      <c r="U2" s="163"/>
      <c r="V2" s="334">
        <f>EOMONTH(T2,-3)</f>
        <v>45657</v>
      </c>
      <c r="W2" s="334"/>
      <c r="X2" s="334"/>
      <c r="Y2" s="334"/>
      <c r="Z2" s="163"/>
      <c r="AA2" s="134"/>
      <c r="AB2" s="163">
        <v>46022</v>
      </c>
      <c r="AC2" s="163">
        <f>AB2</f>
        <v>46022</v>
      </c>
      <c r="AD2" s="163">
        <f>EOMONTH(AB2,-3)</f>
        <v>45930</v>
      </c>
      <c r="AE2" s="163">
        <f>AD2</f>
        <v>45930</v>
      </c>
      <c r="AF2" s="163">
        <f>EOMONTH(AD2,-3)</f>
        <v>45838</v>
      </c>
      <c r="AG2" s="163">
        <f>AF2</f>
        <v>45838</v>
      </c>
      <c r="AH2" s="163">
        <f>EOMONTH(AG2,-3)</f>
        <v>45747</v>
      </c>
    </row>
    <row r="3" spans="1:36" collapsed="1" x14ac:dyDescent="0.2">
      <c r="A3" s="3" t="s">
        <v>3</v>
      </c>
      <c r="B3" s="134"/>
      <c r="C3" s="134"/>
      <c r="D3" s="134"/>
      <c r="E3" s="134"/>
      <c r="F3" s="134"/>
      <c r="G3" s="161"/>
      <c r="H3" s="162"/>
      <c r="I3" s="134"/>
      <c r="J3" s="134"/>
      <c r="K3" s="161"/>
      <c r="L3" s="162"/>
      <c r="M3" s="134"/>
      <c r="N3" s="161"/>
      <c r="O3" s="161"/>
      <c r="P3" s="161"/>
      <c r="Q3" s="161"/>
      <c r="R3" s="162"/>
      <c r="T3" s="134"/>
      <c r="U3" s="134"/>
      <c r="V3" s="239"/>
      <c r="W3" s="239"/>
      <c r="X3" s="239"/>
      <c r="Y3" s="239"/>
      <c r="Z3" s="134"/>
      <c r="AA3" s="134"/>
      <c r="AB3" s="134"/>
      <c r="AC3" s="134"/>
      <c r="AD3" s="134"/>
      <c r="AE3" s="134"/>
      <c r="AF3" s="134"/>
      <c r="AG3" s="134"/>
      <c r="AH3" s="134"/>
    </row>
    <row r="4" spans="1:36" ht="17.399999999999999" x14ac:dyDescent="0.3">
      <c r="B4" s="89"/>
      <c r="C4" s="77" t="s">
        <v>201</v>
      </c>
      <c r="D4" s="89"/>
      <c r="E4" s="90"/>
      <c r="F4" s="91"/>
      <c r="T4" s="77"/>
      <c r="U4" s="77"/>
      <c r="AB4" s="77"/>
      <c r="AD4" s="77"/>
      <c r="AE4" s="77"/>
      <c r="AF4" s="77"/>
    </row>
    <row r="5" spans="1:36" ht="17.399999999999999" x14ac:dyDescent="0.3">
      <c r="B5" s="89"/>
      <c r="C5" s="77"/>
      <c r="D5" s="89"/>
      <c r="E5" s="90"/>
      <c r="F5" s="91"/>
      <c r="AB5" s="77"/>
      <c r="AD5" s="77"/>
      <c r="AE5" s="77"/>
      <c r="AF5" s="77"/>
    </row>
    <row r="6" spans="1:36" ht="17.399999999999999" x14ac:dyDescent="0.3">
      <c r="B6" s="89"/>
      <c r="C6" s="77"/>
      <c r="D6" s="89"/>
      <c r="E6" s="90"/>
      <c r="F6" s="91"/>
      <c r="AB6" s="77"/>
      <c r="AD6" s="77"/>
      <c r="AE6" s="77"/>
      <c r="AF6" s="77"/>
    </row>
    <row r="7" spans="1:36" ht="17.399999999999999" x14ac:dyDescent="0.3">
      <c r="B7" s="89"/>
      <c r="C7" s="77"/>
      <c r="D7" s="89"/>
      <c r="E7" s="90"/>
      <c r="F7" s="91"/>
      <c r="AB7" s="77"/>
      <c r="AD7" s="77"/>
      <c r="AE7" s="77"/>
      <c r="AF7" s="77"/>
    </row>
    <row r="8" spans="1:36" ht="17.399999999999999" x14ac:dyDescent="0.3">
      <c r="B8" s="89"/>
      <c r="C8" s="77"/>
      <c r="D8" s="89"/>
      <c r="E8" s="90"/>
      <c r="F8" s="91"/>
      <c r="AB8" s="77"/>
      <c r="AD8" s="77"/>
      <c r="AE8" s="77"/>
      <c r="AF8" s="77"/>
    </row>
    <row r="9" spans="1:36" ht="17.399999999999999" x14ac:dyDescent="0.3">
      <c r="B9" s="89"/>
      <c r="C9" s="77"/>
      <c r="D9" s="89"/>
      <c r="E9" s="90"/>
      <c r="F9" s="91"/>
      <c r="AB9" s="77"/>
      <c r="AD9" s="77"/>
      <c r="AE9" s="77"/>
      <c r="AF9" s="77"/>
    </row>
    <row r="10" spans="1:36" ht="17.399999999999999" x14ac:dyDescent="0.3">
      <c r="B10" s="89"/>
      <c r="C10" s="77"/>
      <c r="D10" s="89"/>
      <c r="E10" s="90"/>
      <c r="F10" s="91"/>
      <c r="AB10" s="77"/>
      <c r="AD10" s="77"/>
      <c r="AE10" s="77"/>
      <c r="AF10" s="77"/>
    </row>
    <row r="11" spans="1:36" ht="17.399999999999999" x14ac:dyDescent="0.3">
      <c r="B11" s="89"/>
      <c r="C11" s="77"/>
      <c r="D11" s="89"/>
      <c r="E11" s="336">
        <f>DateRef</f>
        <v>46112</v>
      </c>
      <c r="F11" s="91"/>
      <c r="I11" s="196"/>
      <c r="J11" s="196"/>
      <c r="K11" s="197"/>
      <c r="L11" s="198"/>
      <c r="M11" s="196"/>
      <c r="N11" s="197"/>
      <c r="O11" s="197"/>
      <c r="P11" s="197"/>
      <c r="Q11" s="197"/>
      <c r="S11" s="77" t="s">
        <v>264</v>
      </c>
      <c r="T11" s="77"/>
      <c r="U11" s="77"/>
      <c r="AB11" s="77" t="s">
        <v>185</v>
      </c>
      <c r="AD11" s="77"/>
      <c r="AE11" s="77"/>
      <c r="AF11" s="77"/>
    </row>
    <row r="12" spans="1:36" ht="26.25" customHeight="1" thickBot="1" x14ac:dyDescent="0.3">
      <c r="C12" s="4" t="s">
        <v>277</v>
      </c>
      <c r="D12" s="192"/>
      <c r="E12" s="193" t="str" cm="1">
        <f t="array" ref="E12">INDEX(TableYtd,MONTH(EOMONTH(DateRef,-12)),2)&amp;YEAR(DateRef)</f>
        <v>Q1 2026</v>
      </c>
      <c r="F12" s="193" t="str" cm="1">
        <f t="array" ref="F12">INDEX(TableYtd,MONTH(EOMONTH(DateRef,-12)),2)&amp;YEAR(EOMONTH(DateRef,-12))&amp;"*"</f>
        <v>Q1 2025*</v>
      </c>
      <c r="G12" s="195" t="s">
        <v>103</v>
      </c>
      <c r="H12" s="26"/>
      <c r="I12" s="5" t="str">
        <f>RIGHT(I$1,2)&amp;" "&amp;LEFT(I$1,4)</f>
        <v>Q1 2026</v>
      </c>
      <c r="J12" s="5" t="str">
        <f>RIGHT(J$1,2)&amp;" "&amp;LEFT(J$1,4)</f>
        <v>Q1 2025</v>
      </c>
      <c r="K12" s="33" t="s">
        <v>103</v>
      </c>
      <c r="L12" s="26"/>
      <c r="M12" s="5" t="str">
        <f>MID(M$1,5,2)&amp;" "&amp;LEFT(M$1,4)&amp;"*"</f>
        <v>Q1 2025*</v>
      </c>
      <c r="N12" s="33" t="s">
        <v>104</v>
      </c>
      <c r="O12" s="328"/>
      <c r="P12" s="5" t="str">
        <f>RIGHT(P$1,2)&amp;" "&amp;LEFT(P$1,4)</f>
        <v>Q4 2025</v>
      </c>
      <c r="Q12" s="33" t="s">
        <v>104</v>
      </c>
      <c r="R12" s="26"/>
      <c r="S12" s="5" t="str">
        <f>MID(S$1,5,2)&amp;" "&amp;LEFT(S$1,4)&amp;"*"</f>
        <v>Q1 2025*</v>
      </c>
      <c r="T12" s="5" t="s">
        <v>232</v>
      </c>
      <c r="U12" s="5" t="str">
        <f>MID(U$1,5,2)&amp;" "&amp;LEFT(U$1,4)&amp;"*"</f>
        <v>Q4 2024*</v>
      </c>
      <c r="V12" s="5" t="s">
        <v>233</v>
      </c>
      <c r="W12" s="5" t="str">
        <f>MID(W$1,5,2)&amp;" "&amp;LEFT(W$1,4)&amp;"*"</f>
        <v>Q3 2024*</v>
      </c>
      <c r="X12" s="5" t="s">
        <v>263</v>
      </c>
      <c r="Y12" s="5" t="str">
        <f>MID(Y$1,5,2)&amp;" "&amp;LEFT(Y$1,4)&amp;"*"</f>
        <v>Q2 2024*</v>
      </c>
      <c r="Z12" s="5" t="str">
        <f>MID(Z$1,5,2)&amp;" "&amp;LEFT(Z$1,4)&amp;"*"</f>
        <v>Q1 2024*</v>
      </c>
      <c r="AA12" s="192"/>
      <c r="AB12" s="5" t="str" cm="1">
        <f t="array" ref="AB12">INDEX(TableYtd,MONTH(AB$2),2)&amp;YEAR(AB$2)</f>
        <v>FY 2025</v>
      </c>
      <c r="AC12" s="5" t="str">
        <f>RIGHT(AC$1,2)&amp;" "&amp;LEFT(AC$1,4)</f>
        <v>Q4 2025</v>
      </c>
      <c r="AD12" s="5" t="str" cm="1">
        <f t="array" ref="AD12">INDEX(TableYtd,MONTH(AD$2),2)&amp;YEAR(AD$2)</f>
        <v>9M 2025</v>
      </c>
      <c r="AE12" s="5" t="str">
        <f>RIGHT(AE$1,2)&amp;" "&amp;LEFT(AE$1,4)</f>
        <v>Q3 2025</v>
      </c>
      <c r="AF12" s="5" t="s">
        <v>228</v>
      </c>
      <c r="AG12" s="5" t="str">
        <f>MID(AG$1,5,2)&amp;" "&amp;LEFT(AG$1,4)</f>
        <v>Q2 2025</v>
      </c>
      <c r="AH12" s="5" t="str">
        <f>MID(AH$1,5,2)&amp;" "&amp;LEFT(AH$1,4)</f>
        <v>Q1 2025</v>
      </c>
      <c r="AI12" s="191"/>
      <c r="AJ12" s="192"/>
    </row>
    <row r="13" spans="1:36" x14ac:dyDescent="0.2">
      <c r="A13" s="3" t="s">
        <v>22</v>
      </c>
      <c r="B13" s="49"/>
      <c r="C13" s="48" t="s">
        <v>270</v>
      </c>
      <c r="D13" s="245"/>
      <c r="E13" s="261">
        <v>3052.3792570699998</v>
      </c>
      <c r="F13" s="261">
        <v>2929.5746452100002</v>
      </c>
      <c r="G13" s="298">
        <f>IF(ISERROR($E13*F13),"NM",IF($E13*F13&gt;0,IF(E13/F13&gt;2,"NM",E13/F13-1),"NM"))</f>
        <v>4.1918922277946136E-2</v>
      </c>
      <c r="H13" s="50"/>
      <c r="I13" s="839">
        <v>781.9321668499997</v>
      </c>
      <c r="J13" s="839">
        <v>824.40058980000003</v>
      </c>
      <c r="K13" s="840">
        <f>IF(ISERROR($I13*J13),"NM",IF($I13*J13&gt;0,IF(I13/J13&gt;2,"NM",I13/J13-1),"NM"))</f>
        <v>-5.1514304423657897E-2</v>
      </c>
      <c r="L13" s="50"/>
      <c r="M13" s="839">
        <v>736.88998211000001</v>
      </c>
      <c r="N13" s="840">
        <f t="shared" ref="N13:N44" si="0">IF(ISERROR($I13*M13),"NM",IF($I13*M13&gt;0,IF(I13/M13&gt;2,"NM",I13/M13-1),"NM"))</f>
        <v>6.1124707668065437E-2</v>
      </c>
      <c r="O13" s="325"/>
      <c r="P13" s="839">
        <v>763.46598908999977</v>
      </c>
      <c r="Q13" s="840">
        <f t="shared" ref="Q13:Q68" si="1">IF(ISERROR($I13*P13),"NM",IF($I13*P13&gt;0,IF($I13/P13&gt;2,"NM",$I13/P13-1),"NM"))</f>
        <v>2.4187295863710156E-2</v>
      </c>
      <c r="R13" s="50"/>
      <c r="S13" s="839">
        <v>736.88998211000001</v>
      </c>
      <c r="T13" s="839">
        <v>2929.5746452100002</v>
      </c>
      <c r="U13" s="839">
        <v>731.60359997000012</v>
      </c>
      <c r="V13" s="839">
        <v>2197.97104524</v>
      </c>
      <c r="W13" s="839">
        <v>723.42086900000049</v>
      </c>
      <c r="X13" s="839">
        <v>1474.5501762399995</v>
      </c>
      <c r="Y13" s="839">
        <v>708.85434572999975</v>
      </c>
      <c r="Z13" s="839">
        <v>692.54689882999958</v>
      </c>
      <c r="AA13" s="192"/>
      <c r="AB13" s="839">
        <v>3052.3792570699998</v>
      </c>
      <c r="AC13" s="839">
        <v>763.46598908999977</v>
      </c>
      <c r="AD13" s="839">
        <v>2288.91326798</v>
      </c>
      <c r="AE13" s="839">
        <v>747.20128153999985</v>
      </c>
      <c r="AF13" s="839">
        <v>1541.7119864400001</v>
      </c>
      <c r="AG13" s="839">
        <v>717.31139664000011</v>
      </c>
      <c r="AH13" s="839">
        <v>824.40058980000003</v>
      </c>
      <c r="AI13" s="191"/>
      <c r="AJ13" s="192"/>
    </row>
    <row r="14" spans="1:36" x14ac:dyDescent="0.2">
      <c r="A14" s="3" t="s">
        <v>23</v>
      </c>
      <c r="B14" s="49"/>
      <c r="C14" s="51" t="s">
        <v>271</v>
      </c>
      <c r="D14" s="245"/>
      <c r="E14" s="262">
        <v>173.14761414999998</v>
      </c>
      <c r="F14" s="262">
        <v>141.25066859999998</v>
      </c>
      <c r="G14" s="300">
        <f t="shared" ref="G14:G53" si="2">IF(ISERROR($E14*F14),"NM",IF($E14*F14&gt;0,IF(E14/F14&gt;2,"NM",E14/F14-1),"NM"))</f>
        <v>0.22581801464124185</v>
      </c>
      <c r="H14" s="50"/>
      <c r="I14" s="52">
        <v>86.56959947</v>
      </c>
      <c r="J14" s="52">
        <v>22.887537139999999</v>
      </c>
      <c r="K14" s="53" t="str">
        <f t="shared" ref="K14:K53" si="3">IF(ISERROR($I14*J14),"NM",IF($I14*J14&gt;0,IF(I14/J14&gt;2,"NM",I14/J14-1),"NM"))</f>
        <v>NM</v>
      </c>
      <c r="L14" s="50"/>
      <c r="M14" s="52">
        <v>22.656754370000002</v>
      </c>
      <c r="N14" s="53" t="str">
        <f t="shared" si="0"/>
        <v>NM</v>
      </c>
      <c r="O14" s="325"/>
      <c r="P14" s="52">
        <v>82.27364962</v>
      </c>
      <c r="Q14" s="53">
        <f t="shared" si="1"/>
        <v>5.2215379648792082E-2</v>
      </c>
      <c r="R14" s="50"/>
      <c r="S14" s="52">
        <v>22.656754370000002</v>
      </c>
      <c r="T14" s="52">
        <v>141.25066859999998</v>
      </c>
      <c r="U14" s="52">
        <v>55.993432999999975</v>
      </c>
      <c r="V14" s="52">
        <v>85.257235600000001</v>
      </c>
      <c r="W14" s="52">
        <v>18.796477639999985</v>
      </c>
      <c r="X14" s="52">
        <v>66.460757960000024</v>
      </c>
      <c r="Y14" s="52">
        <v>48.953476120000012</v>
      </c>
      <c r="Z14" s="52">
        <v>16.159865370000006</v>
      </c>
      <c r="AA14" s="192"/>
      <c r="AB14" s="52">
        <v>173.14761414999998</v>
      </c>
      <c r="AC14" s="52">
        <v>82.27364962</v>
      </c>
      <c r="AD14" s="52">
        <v>90.873964529999995</v>
      </c>
      <c r="AE14" s="52">
        <v>33.198177129999998</v>
      </c>
      <c r="AF14" s="52">
        <v>57.675787400000004</v>
      </c>
      <c r="AG14" s="52">
        <v>34.788250260000005</v>
      </c>
      <c r="AH14" s="52">
        <v>22.887537139999999</v>
      </c>
      <c r="AI14" s="191"/>
      <c r="AJ14" s="192"/>
    </row>
    <row r="15" spans="1:36" x14ac:dyDescent="0.2">
      <c r="A15" s="3" t="s">
        <v>25</v>
      </c>
      <c r="B15" s="49"/>
      <c r="C15" s="359" t="s">
        <v>69</v>
      </c>
      <c r="D15" s="245"/>
      <c r="E15" s="262">
        <v>3225.5268712199995</v>
      </c>
      <c r="F15" s="262">
        <v>3070.8253138099999</v>
      </c>
      <c r="G15" s="300">
        <f t="shared" si="2"/>
        <v>5.0377843609104467E-2</v>
      </c>
      <c r="H15" s="50"/>
      <c r="I15" s="52">
        <v>868.50176631999966</v>
      </c>
      <c r="J15" s="52">
        <v>847.28812693999998</v>
      </c>
      <c r="K15" s="53">
        <f t="shared" si="3"/>
        <v>2.5037102144477297E-2</v>
      </c>
      <c r="L15" s="50"/>
      <c r="M15" s="52">
        <v>759.54673647999994</v>
      </c>
      <c r="N15" s="53">
        <f t="shared" si="0"/>
        <v>0.14344743332705856</v>
      </c>
      <c r="O15" s="325"/>
      <c r="P15" s="52">
        <v>845.73963870999978</v>
      </c>
      <c r="Q15" s="53">
        <f t="shared" si="1"/>
        <v>2.6913871087701047E-2</v>
      </c>
      <c r="R15" s="50"/>
      <c r="S15" s="52">
        <v>759.54673647999994</v>
      </c>
      <c r="T15" s="52">
        <v>3070.8253138099999</v>
      </c>
      <c r="U15" s="52">
        <v>787.5970329700001</v>
      </c>
      <c r="V15" s="52">
        <v>2283.22828084</v>
      </c>
      <c r="W15" s="52">
        <v>742.21734664000053</v>
      </c>
      <c r="X15" s="52">
        <v>1541.0109341999996</v>
      </c>
      <c r="Y15" s="52">
        <v>757.80782184999975</v>
      </c>
      <c r="Z15" s="52">
        <v>708.70676419999961</v>
      </c>
      <c r="AA15" s="192"/>
      <c r="AB15" s="52">
        <v>3225.5268712199995</v>
      </c>
      <c r="AC15" s="52">
        <v>845.73963870999978</v>
      </c>
      <c r="AD15" s="52">
        <v>2379.7872325099997</v>
      </c>
      <c r="AE15" s="52">
        <v>780.39945866999983</v>
      </c>
      <c r="AF15" s="52">
        <v>1599.3877738400001</v>
      </c>
      <c r="AG15" s="52">
        <v>752.09964690000015</v>
      </c>
      <c r="AH15" s="52">
        <v>847.28812693999998</v>
      </c>
      <c r="AI15" s="191"/>
      <c r="AJ15" s="192"/>
    </row>
    <row r="16" spans="1:36" x14ac:dyDescent="0.2">
      <c r="A16" s="3" t="s">
        <v>27</v>
      </c>
      <c r="B16" s="49"/>
      <c r="C16" s="359" t="s">
        <v>199</v>
      </c>
      <c r="D16" s="245"/>
      <c r="E16" s="262">
        <v>116.10364935000001</v>
      </c>
      <c r="F16" s="262">
        <v>80.168684900000031</v>
      </c>
      <c r="G16" s="300">
        <f t="shared" si="2"/>
        <v>0.44824191010273107</v>
      </c>
      <c r="H16" s="50"/>
      <c r="I16" s="52">
        <v>30.960137049999993</v>
      </c>
      <c r="J16" s="52">
        <v>25.65956640000001</v>
      </c>
      <c r="K16" s="53">
        <f t="shared" si="3"/>
        <v>0.20657288464547019</v>
      </c>
      <c r="L16" s="50"/>
      <c r="M16" s="52">
        <v>25.65956640000001</v>
      </c>
      <c r="N16" s="53">
        <f t="shared" si="0"/>
        <v>0.20657288464547019</v>
      </c>
      <c r="O16" s="325"/>
      <c r="P16" s="52">
        <v>35.473510650000009</v>
      </c>
      <c r="Q16" s="53">
        <f t="shared" si="1"/>
        <v>-0.12723222250346999</v>
      </c>
      <c r="R16" s="50"/>
      <c r="S16" s="52">
        <v>25.65956640000001</v>
      </c>
      <c r="T16" s="52">
        <v>80.168684900000031</v>
      </c>
      <c r="U16" s="52">
        <v>25.853562070000084</v>
      </c>
      <c r="V16" s="52">
        <v>54.31512282999995</v>
      </c>
      <c r="W16" s="52">
        <v>19.503094319999999</v>
      </c>
      <c r="X16" s="52">
        <v>34.812028509999948</v>
      </c>
      <c r="Y16" s="52">
        <v>17.257334369999956</v>
      </c>
      <c r="Z16" s="52">
        <v>17.554694139999992</v>
      </c>
      <c r="AA16" s="192"/>
      <c r="AB16" s="52">
        <v>116.10364935000001</v>
      </c>
      <c r="AC16" s="52">
        <v>35.473510650000009</v>
      </c>
      <c r="AD16" s="52">
        <v>80.630138700000003</v>
      </c>
      <c r="AE16" s="52">
        <v>29.121314640000001</v>
      </c>
      <c r="AF16" s="52">
        <v>51.508824059999995</v>
      </c>
      <c r="AG16" s="52">
        <v>25.849257659999989</v>
      </c>
      <c r="AH16" s="52">
        <v>25.65956640000001</v>
      </c>
      <c r="AI16" s="191"/>
      <c r="AJ16" s="192"/>
    </row>
    <row r="17" spans="1:36" ht="12" x14ac:dyDescent="0.25">
      <c r="A17" s="3" t="s">
        <v>28</v>
      </c>
      <c r="B17" s="86"/>
      <c r="C17" s="360" t="s">
        <v>197</v>
      </c>
      <c r="D17" s="246"/>
      <c r="E17" s="264">
        <v>4.5002319999694507E-2</v>
      </c>
      <c r="F17" s="264">
        <v>-12.013864439999615</v>
      </c>
      <c r="G17" s="302" t="str">
        <f>IF(ISERROR($E17*F17),"NM",IF($E17*F17&gt;0,IF(E17/F17&gt;2,"NM",E17/F17-1),"NM"))</f>
        <v>NM</v>
      </c>
      <c r="H17" s="87"/>
      <c r="I17" s="843">
        <v>-85.215214260000025</v>
      </c>
      <c r="J17" s="843">
        <v>19.468334319999983</v>
      </c>
      <c r="K17" s="844" t="str">
        <f t="shared" si="3"/>
        <v>NM</v>
      </c>
      <c r="L17" s="87"/>
      <c r="M17" s="843">
        <v>17.681286519999983</v>
      </c>
      <c r="N17" s="844" t="str">
        <f t="shared" si="0"/>
        <v>NM</v>
      </c>
      <c r="O17" s="326"/>
      <c r="P17" s="843">
        <v>2.083693689999679</v>
      </c>
      <c r="Q17" s="844" t="str">
        <f t="shared" si="1"/>
        <v>NM</v>
      </c>
      <c r="R17" s="87"/>
      <c r="S17" s="843">
        <v>17.681286519999983</v>
      </c>
      <c r="T17" s="843">
        <v>-12.013864439999615</v>
      </c>
      <c r="U17" s="843">
        <v>-6.1521634199995923</v>
      </c>
      <c r="V17" s="843">
        <v>-5.861701020000023</v>
      </c>
      <c r="W17" s="843">
        <v>-8.5332506000000556</v>
      </c>
      <c r="X17" s="843">
        <v>2.6715495800000326</v>
      </c>
      <c r="Y17" s="843">
        <v>-0.23301502999995805</v>
      </c>
      <c r="Z17" s="843">
        <v>-0.35693792000000357</v>
      </c>
      <c r="AA17" s="247"/>
      <c r="AB17" s="843">
        <v>4.5002319999694507E-2</v>
      </c>
      <c r="AC17" s="843">
        <v>2.083693689999679</v>
      </c>
      <c r="AD17" s="843">
        <v>-2.0386913699999845</v>
      </c>
      <c r="AE17" s="843">
        <v>-14.100910229999785</v>
      </c>
      <c r="AF17" s="843">
        <v>12.062218859999801</v>
      </c>
      <c r="AG17" s="843">
        <v>-7.4061154600001817</v>
      </c>
      <c r="AH17" s="843">
        <v>19.468334319999983</v>
      </c>
      <c r="AI17" s="191"/>
      <c r="AJ17" s="192"/>
    </row>
    <row r="18" spans="1:36" ht="12" x14ac:dyDescent="0.25">
      <c r="A18" s="3" t="s">
        <v>29</v>
      </c>
      <c r="B18" s="86"/>
      <c r="C18" s="361" t="s">
        <v>198</v>
      </c>
      <c r="D18" s="246"/>
      <c r="E18" s="265">
        <v>75.419242919999803</v>
      </c>
      <c r="F18" s="265">
        <v>79.619063020000382</v>
      </c>
      <c r="G18" s="304">
        <f t="shared" si="2"/>
        <v>-5.2748926459302625E-2</v>
      </c>
      <c r="H18" s="87"/>
      <c r="I18" s="845">
        <v>2.9984333399999672</v>
      </c>
      <c r="J18" s="845">
        <v>39.257637030000005</v>
      </c>
      <c r="K18" s="846">
        <f t="shared" si="3"/>
        <v>-0.9236216551263996</v>
      </c>
      <c r="L18" s="87"/>
      <c r="M18" s="845">
        <v>37.470589230000009</v>
      </c>
      <c r="N18" s="846">
        <f t="shared" si="0"/>
        <v>-0.91997901816821881</v>
      </c>
      <c r="O18" s="326"/>
      <c r="P18" s="845">
        <v>18.027372289999754</v>
      </c>
      <c r="Q18" s="846">
        <f t="shared" si="1"/>
        <v>-0.83367330014794916</v>
      </c>
      <c r="R18" s="87"/>
      <c r="S18" s="845">
        <v>37.470589230000009</v>
      </c>
      <c r="T18" s="845">
        <v>79.619063020000382</v>
      </c>
      <c r="U18" s="845">
        <v>17.612431763333738</v>
      </c>
      <c r="V18" s="845">
        <v>62.006631256666644</v>
      </c>
      <c r="W18" s="845">
        <v>15.215028686666608</v>
      </c>
      <c r="X18" s="845">
        <v>46.791602570000038</v>
      </c>
      <c r="Y18" s="845">
        <v>23.490015260000039</v>
      </c>
      <c r="Z18" s="845">
        <v>20.040084779999994</v>
      </c>
      <c r="AA18" s="247"/>
      <c r="AB18" s="845">
        <v>75.419242919999803</v>
      </c>
      <c r="AC18" s="845">
        <v>18.027372289999754</v>
      </c>
      <c r="AD18" s="845">
        <v>57.391870630000042</v>
      </c>
      <c r="AE18" s="845">
        <v>5.723428770000214</v>
      </c>
      <c r="AF18" s="845">
        <v>51.668441859999831</v>
      </c>
      <c r="AG18" s="845">
        <v>12.410804829999829</v>
      </c>
      <c r="AH18" s="845">
        <v>39.257637030000005</v>
      </c>
      <c r="AI18" s="191"/>
      <c r="AJ18" s="192"/>
    </row>
    <row r="19" spans="1:36" ht="12" x14ac:dyDescent="0.25">
      <c r="A19" s="3" t="s">
        <v>30</v>
      </c>
      <c r="C19" s="362" t="s">
        <v>72</v>
      </c>
      <c r="D19" s="192"/>
      <c r="E19" s="266">
        <v>3341.6755228899997</v>
      </c>
      <c r="F19" s="266">
        <v>3138.9801342700002</v>
      </c>
      <c r="G19" s="305">
        <f t="shared" si="2"/>
        <v>6.4573644925961959E-2</v>
      </c>
      <c r="H19" s="27"/>
      <c r="I19" s="14">
        <v>814.24668910999981</v>
      </c>
      <c r="J19" s="14">
        <v>892.41602765999994</v>
      </c>
      <c r="K19" s="11">
        <f t="shared" si="3"/>
        <v>-8.7592934379459364E-2</v>
      </c>
      <c r="L19" s="27"/>
      <c r="M19" s="14">
        <v>802.88758940000002</v>
      </c>
      <c r="N19" s="11">
        <f t="shared" si="0"/>
        <v>1.4147808310860155E-2</v>
      </c>
      <c r="O19" s="329"/>
      <c r="P19" s="14">
        <v>883.29684304999955</v>
      </c>
      <c r="Q19" s="11">
        <f t="shared" si="1"/>
        <v>-7.8173214908785926E-2</v>
      </c>
      <c r="R19" s="27"/>
      <c r="S19" s="14">
        <v>802.88758940000002</v>
      </c>
      <c r="T19" s="14">
        <v>3138.9801342700002</v>
      </c>
      <c r="U19" s="14">
        <v>807.29843162000054</v>
      </c>
      <c r="V19" s="14">
        <v>2331.6817026499998</v>
      </c>
      <c r="W19" s="14">
        <v>753.18719036000039</v>
      </c>
      <c r="X19" s="14">
        <v>1578.4945122899994</v>
      </c>
      <c r="Y19" s="14">
        <v>774.83214118999979</v>
      </c>
      <c r="Z19" s="14">
        <v>725.9045204199997</v>
      </c>
      <c r="AA19" s="192"/>
      <c r="AB19" s="14">
        <v>3341.6755228899997</v>
      </c>
      <c r="AC19" s="14">
        <v>883.29684304999955</v>
      </c>
      <c r="AD19" s="14">
        <v>2458.3786798400001</v>
      </c>
      <c r="AE19" s="14">
        <v>795.41986308000003</v>
      </c>
      <c r="AF19" s="14">
        <v>1662.95881676</v>
      </c>
      <c r="AG19" s="14">
        <v>770.54278910000016</v>
      </c>
      <c r="AH19" s="14">
        <v>892.41602765999994</v>
      </c>
      <c r="AI19" s="191"/>
      <c r="AJ19" s="192"/>
    </row>
    <row r="20" spans="1:36" ht="12" x14ac:dyDescent="0.25">
      <c r="A20" s="3" t="s">
        <v>31</v>
      </c>
      <c r="C20" s="363" t="s">
        <v>73</v>
      </c>
      <c r="D20" s="192"/>
      <c r="E20" s="267">
        <v>3417.0497634899993</v>
      </c>
      <c r="F20" s="267">
        <v>3230.61306173</v>
      </c>
      <c r="G20" s="307">
        <f t="shared" si="2"/>
        <v>5.7709387722267858E-2</v>
      </c>
      <c r="H20" s="27"/>
      <c r="I20" s="847">
        <v>902.46033670999964</v>
      </c>
      <c r="J20" s="847">
        <v>912.20533036999996</v>
      </c>
      <c r="K20" s="848">
        <f t="shared" si="3"/>
        <v>-1.068289488732499E-2</v>
      </c>
      <c r="L20" s="27"/>
      <c r="M20" s="847">
        <v>822.67689210999993</v>
      </c>
      <c r="N20" s="848">
        <f t="shared" si="0"/>
        <v>9.6980291248209616E-2</v>
      </c>
      <c r="O20" s="329"/>
      <c r="P20" s="847">
        <v>899.24052164999955</v>
      </c>
      <c r="Q20" s="848">
        <f t="shared" si="1"/>
        <v>3.5805938261013193E-3</v>
      </c>
      <c r="R20" s="27"/>
      <c r="S20" s="847">
        <v>822.67689210999993</v>
      </c>
      <c r="T20" s="847">
        <v>3230.61306173</v>
      </c>
      <c r="U20" s="847">
        <v>831.06302680333386</v>
      </c>
      <c r="V20" s="847">
        <v>2399.5500349266663</v>
      </c>
      <c r="W20" s="847">
        <v>776.935469646667</v>
      </c>
      <c r="X20" s="847">
        <v>1622.6145652799994</v>
      </c>
      <c r="Y20" s="847">
        <v>798.55517147999979</v>
      </c>
      <c r="Z20" s="847">
        <v>746.30154311999968</v>
      </c>
      <c r="AA20" s="192"/>
      <c r="AB20" s="847">
        <v>3417.0497634899993</v>
      </c>
      <c r="AC20" s="847">
        <v>899.24052164999955</v>
      </c>
      <c r="AD20" s="847">
        <v>2517.8092418400001</v>
      </c>
      <c r="AE20" s="847">
        <v>815.24420208000015</v>
      </c>
      <c r="AF20" s="847">
        <v>1702.56503976</v>
      </c>
      <c r="AG20" s="847">
        <v>790.35970939000003</v>
      </c>
      <c r="AH20" s="847">
        <v>912.20533036999996</v>
      </c>
      <c r="AI20" s="191"/>
      <c r="AJ20" s="192"/>
    </row>
    <row r="21" spans="1:36" x14ac:dyDescent="0.2">
      <c r="A21" s="3" t="s">
        <v>33</v>
      </c>
      <c r="B21" s="49"/>
      <c r="C21" s="359" t="s">
        <v>182</v>
      </c>
      <c r="D21" s="245"/>
      <c r="E21" s="262">
        <v>-1202.59975936</v>
      </c>
      <c r="F21" s="262">
        <v>-1141.0455567110134</v>
      </c>
      <c r="G21" s="300">
        <f t="shared" si="2"/>
        <v>5.394543827541165E-2</v>
      </c>
      <c r="H21" s="50"/>
      <c r="I21" s="52">
        <v>-300.97479078999993</v>
      </c>
      <c r="J21" s="52">
        <v>-323.57410689</v>
      </c>
      <c r="K21" s="53">
        <f t="shared" si="3"/>
        <v>-6.9842782901299194E-2</v>
      </c>
      <c r="L21" s="50"/>
      <c r="M21" s="52">
        <v>-275.07776279000001</v>
      </c>
      <c r="N21" s="53">
        <f t="shared" si="0"/>
        <v>9.414438934407876E-2</v>
      </c>
      <c r="O21" s="325"/>
      <c r="P21" s="52">
        <v>-300.97456778000003</v>
      </c>
      <c r="Q21" s="53">
        <f t="shared" si="1"/>
        <v>7.409596149976494E-7</v>
      </c>
      <c r="R21" s="50"/>
      <c r="S21" s="52">
        <v>-275.07776279000001</v>
      </c>
      <c r="T21" s="52">
        <v>-1141.0455567110134</v>
      </c>
      <c r="U21" s="52">
        <v>-300.47826069101336</v>
      </c>
      <c r="V21" s="52">
        <v>-840.56729602000019</v>
      </c>
      <c r="W21" s="52">
        <v>-268.6452712800002</v>
      </c>
      <c r="X21" s="52">
        <v>-571.92202473999998</v>
      </c>
      <c r="Y21" s="52">
        <v>-276.63038315999995</v>
      </c>
      <c r="Z21" s="52">
        <v>-260.38315306000004</v>
      </c>
      <c r="AA21" s="192"/>
      <c r="AB21" s="52">
        <v>-1202.59975936</v>
      </c>
      <c r="AC21" s="52">
        <v>-300.97456778000003</v>
      </c>
      <c r="AD21" s="52">
        <v>-901.62519157999986</v>
      </c>
      <c r="AE21" s="52">
        <v>-306.52606936999996</v>
      </c>
      <c r="AF21" s="52">
        <v>-595.0991222099999</v>
      </c>
      <c r="AG21" s="52">
        <v>-271.52501531999997</v>
      </c>
      <c r="AH21" s="52">
        <v>-323.57410689</v>
      </c>
      <c r="AI21" s="191"/>
      <c r="AJ21" s="192"/>
    </row>
    <row r="22" spans="1:36" x14ac:dyDescent="0.2">
      <c r="A22" s="3" t="s">
        <v>34</v>
      </c>
      <c r="B22" s="49"/>
      <c r="C22" s="359" t="s">
        <v>75</v>
      </c>
      <c r="D22" s="245"/>
      <c r="E22" s="262">
        <v>-577.96340848</v>
      </c>
      <c r="F22" s="262">
        <v>-536.00335857043183</v>
      </c>
      <c r="G22" s="300">
        <f t="shared" si="2"/>
        <v>7.828318468279627E-2</v>
      </c>
      <c r="H22" s="50"/>
      <c r="I22" s="52">
        <v>-154.31356517</v>
      </c>
      <c r="J22" s="52">
        <v>-154.13503431999999</v>
      </c>
      <c r="K22" s="53">
        <f t="shared" si="3"/>
        <v>1.1582756041652598E-3</v>
      </c>
      <c r="L22" s="50"/>
      <c r="M22" s="52">
        <v>-140.84757989000002</v>
      </c>
      <c r="N22" s="53">
        <f t="shared" si="0"/>
        <v>9.5606792040848099E-2</v>
      </c>
      <c r="O22" s="325"/>
      <c r="P22" s="52">
        <v>-149.15655541999999</v>
      </c>
      <c r="Q22" s="53">
        <f t="shared" si="1"/>
        <v>3.457447602942243E-2</v>
      </c>
      <c r="R22" s="50"/>
      <c r="S22" s="52">
        <v>-140.84757989000002</v>
      </c>
      <c r="T22" s="52">
        <v>-536.00335857043183</v>
      </c>
      <c r="U22" s="52">
        <v>-124.67228214043193</v>
      </c>
      <c r="V22" s="52">
        <v>-411.33107642999988</v>
      </c>
      <c r="W22" s="52">
        <v>-134.01170241999984</v>
      </c>
      <c r="X22" s="52">
        <v>-277.31937401000005</v>
      </c>
      <c r="Y22" s="52">
        <v>-133.43637762</v>
      </c>
      <c r="Z22" s="52">
        <v>-128.47168547000001</v>
      </c>
      <c r="AA22" s="192"/>
      <c r="AB22" s="52">
        <v>-577.96340848</v>
      </c>
      <c r="AC22" s="52">
        <v>-149.15655541999999</v>
      </c>
      <c r="AD22" s="52">
        <v>-428.80685305999998</v>
      </c>
      <c r="AE22" s="52">
        <v>-129.54228645000001</v>
      </c>
      <c r="AF22" s="52">
        <v>-299.26456660999997</v>
      </c>
      <c r="AG22" s="52">
        <v>-145.12953228999996</v>
      </c>
      <c r="AH22" s="52">
        <v>-154.13503431999999</v>
      </c>
      <c r="AI22" s="191"/>
      <c r="AJ22" s="192"/>
    </row>
    <row r="23" spans="1:36" ht="12" x14ac:dyDescent="0.25">
      <c r="A23" s="3" t="s">
        <v>35</v>
      </c>
      <c r="C23" s="362" t="s">
        <v>76</v>
      </c>
      <c r="D23" s="192"/>
      <c r="E23" s="266">
        <v>-1895.3946903799999</v>
      </c>
      <c r="F23" s="266">
        <v>-1680.5476156914451</v>
      </c>
      <c r="G23" s="305">
        <f t="shared" si="2"/>
        <v>0.12784349142059748</v>
      </c>
      <c r="H23" s="27"/>
      <c r="I23" s="14">
        <v>-457.07635596</v>
      </c>
      <c r="J23" s="14">
        <v>-486.45540524</v>
      </c>
      <c r="K23" s="11">
        <f t="shared" si="3"/>
        <v>-6.0394126498615863E-2</v>
      </c>
      <c r="L23" s="27"/>
      <c r="M23" s="14">
        <v>-419.28398838000004</v>
      </c>
      <c r="N23" s="11">
        <f t="shared" si="0"/>
        <v>9.0135489614138198E-2</v>
      </c>
      <c r="O23" s="329"/>
      <c r="P23" s="14">
        <v>-472.14019484999994</v>
      </c>
      <c r="Q23" s="11">
        <f t="shared" si="1"/>
        <v>-3.1905436254555219E-2</v>
      </c>
      <c r="R23" s="27"/>
      <c r="S23" s="14">
        <v>-419.28398838000004</v>
      </c>
      <c r="T23" s="14">
        <v>-1680.5476156914451</v>
      </c>
      <c r="U23" s="14">
        <v>-428.64924324144528</v>
      </c>
      <c r="V23" s="14">
        <v>-1251.8983724499999</v>
      </c>
      <c r="W23" s="14">
        <v>-402.65697370000004</v>
      </c>
      <c r="X23" s="14">
        <v>-849.24139874999992</v>
      </c>
      <c r="Y23" s="14">
        <v>-410.06676077999992</v>
      </c>
      <c r="Z23" s="14">
        <v>-388.85483853000005</v>
      </c>
      <c r="AA23" s="192"/>
      <c r="AB23" s="14">
        <v>-1895.3946903799999</v>
      </c>
      <c r="AC23" s="14">
        <v>-472.14019484999994</v>
      </c>
      <c r="AD23" s="14">
        <v>-1423.25449553</v>
      </c>
      <c r="AE23" s="14">
        <v>-518.35554267999999</v>
      </c>
      <c r="AF23" s="14">
        <v>-904.89895285</v>
      </c>
      <c r="AG23" s="14">
        <v>-418.44354761</v>
      </c>
      <c r="AH23" s="14">
        <v>-486.45540524</v>
      </c>
      <c r="AI23" s="191"/>
      <c r="AJ23" s="192"/>
    </row>
    <row r="24" spans="1:36" ht="12" x14ac:dyDescent="0.25">
      <c r="A24" s="3" t="s">
        <v>36</v>
      </c>
      <c r="C24" s="363" t="s">
        <v>77</v>
      </c>
      <c r="D24" s="192"/>
      <c r="E24" s="267">
        <v>-1780.56316784</v>
      </c>
      <c r="F24" s="267">
        <v>-1677.0489152814453</v>
      </c>
      <c r="G24" s="307">
        <f t="shared" si="2"/>
        <v>6.1724050870145764E-2</v>
      </c>
      <c r="H24" s="27"/>
      <c r="I24" s="847">
        <v>-455.28835595999999</v>
      </c>
      <c r="J24" s="847">
        <v>-477.70914120999998</v>
      </c>
      <c r="K24" s="848">
        <f t="shared" si="3"/>
        <v>-4.6933967378580799E-2</v>
      </c>
      <c r="L24" s="27"/>
      <c r="M24" s="847">
        <v>-415.92534267999997</v>
      </c>
      <c r="N24" s="848">
        <f t="shared" si="0"/>
        <v>9.4639612547689156E-2</v>
      </c>
      <c r="O24" s="329"/>
      <c r="P24" s="847">
        <v>-450.13112320000005</v>
      </c>
      <c r="Q24" s="848">
        <f t="shared" si="1"/>
        <v>1.1457178795673872E-2</v>
      </c>
      <c r="R24" s="27"/>
      <c r="S24" s="847">
        <v>-415.92534267999997</v>
      </c>
      <c r="T24" s="847">
        <v>-1677.0489152814453</v>
      </c>
      <c r="U24" s="847">
        <v>-425.15054283144536</v>
      </c>
      <c r="V24" s="847">
        <v>-1251.8983724499999</v>
      </c>
      <c r="W24" s="847">
        <v>-402.65697370000004</v>
      </c>
      <c r="X24" s="847">
        <v>-849.24139874999992</v>
      </c>
      <c r="Y24" s="847">
        <v>-410.06676077999992</v>
      </c>
      <c r="Z24" s="847">
        <v>-388.85483853000005</v>
      </c>
      <c r="AA24" s="192"/>
      <c r="AB24" s="847">
        <v>-1780.56316784</v>
      </c>
      <c r="AC24" s="847">
        <v>-450.13112320000005</v>
      </c>
      <c r="AD24" s="847">
        <v>-1330.4320446399997</v>
      </c>
      <c r="AE24" s="847">
        <v>-436.06835581999997</v>
      </c>
      <c r="AF24" s="847">
        <v>-894.36368881999988</v>
      </c>
      <c r="AG24" s="847">
        <v>-416.65454760999995</v>
      </c>
      <c r="AH24" s="847">
        <v>-477.70914120999998</v>
      </c>
      <c r="AI24" s="191"/>
      <c r="AJ24" s="192"/>
    </row>
    <row r="25" spans="1:36" ht="12" x14ac:dyDescent="0.2">
      <c r="A25" s="137" t="s">
        <v>215</v>
      </c>
      <c r="B25" s="19"/>
      <c r="C25" s="364" t="s">
        <v>216</v>
      </c>
      <c r="D25" s="248"/>
      <c r="E25" s="270">
        <v>0.56719890288474062</v>
      </c>
      <c r="F25" s="270">
        <v>0.53538013743507573</v>
      </c>
      <c r="G25" s="311">
        <f>IF(ISERROR($E25*F25),"NM",IF($E25*F25&gt;0,IF(E25/F25&gt;2,"NM",(E25-F25)*100),"NM"))</f>
        <v>3.1818765449664888</v>
      </c>
      <c r="H25" s="189"/>
      <c r="I25" s="853">
        <v>0.56134874365851029</v>
      </c>
      <c r="J25" s="853">
        <v>0.5450993596736855</v>
      </c>
      <c r="K25" s="854">
        <f>IF(ISERROR($I25*J25),"NM",IF($I25*J25&gt;0,IF($I25/J25&gt;2,"NM",($I25-J25)*100),"NM"))</f>
        <v>1.6249383984824783</v>
      </c>
      <c r="L25" s="189"/>
      <c r="M25" s="853">
        <v>0.52222003916305648</v>
      </c>
      <c r="N25" s="854">
        <f>IF(ISERROR($I25*M25),"NM",IF($I25*M25&gt;0,IF(L25/M25&gt;2,"NM",($I25-M25)*100),"NM"))</f>
        <v>3.9128704495453803</v>
      </c>
      <c r="O25" s="327"/>
      <c r="P25" s="853">
        <v>0.53452041469967548</v>
      </c>
      <c r="Q25" s="854">
        <f>IF(ISERROR($I25*P25),"NM",IF($I25*P25&gt;0,IF(O25/P25&gt;2,"NM",($I25-P25)*100),"NM"))</f>
        <v>2.6828328958834802</v>
      </c>
      <c r="R25" s="27"/>
      <c r="S25" s="853">
        <v>0.52222003916305648</v>
      </c>
      <c r="T25" s="853">
        <v>0.53538013743507573</v>
      </c>
      <c r="U25" s="853">
        <v>0.5309675164130786</v>
      </c>
      <c r="V25" s="853">
        <v>0.53690791973329555</v>
      </c>
      <c r="W25" s="853">
        <v>0.53460411814431197</v>
      </c>
      <c r="X25" s="853">
        <v>0.53800719111653028</v>
      </c>
      <c r="Y25" s="853">
        <v>0.52923302865342259</v>
      </c>
      <c r="Z25" s="853">
        <v>0.5356831753920106</v>
      </c>
      <c r="AA25" s="189"/>
      <c r="AB25" s="853">
        <v>0.56719890288474062</v>
      </c>
      <c r="AC25" s="853">
        <v>0.53452041469967548</v>
      </c>
      <c r="AD25" s="853">
        <v>0.57894030207853509</v>
      </c>
      <c r="AE25" s="853">
        <v>0.65167538144300263</v>
      </c>
      <c r="AF25" s="853">
        <v>0.54414994750925094</v>
      </c>
      <c r="AG25" s="853">
        <v>0.54305037115297028</v>
      </c>
      <c r="AH25" s="853">
        <v>0.5450993596736855</v>
      </c>
      <c r="AI25" s="191"/>
      <c r="AJ25" s="192"/>
    </row>
    <row r="26" spans="1:36" ht="12" x14ac:dyDescent="0.2">
      <c r="A26" s="137" t="s">
        <v>213</v>
      </c>
      <c r="B26" s="19"/>
      <c r="C26" s="365" t="s">
        <v>214</v>
      </c>
      <c r="D26" s="248"/>
      <c r="E26" s="271">
        <v>0.52108201257842501</v>
      </c>
      <c r="F26" s="271">
        <v>0.51911166185385937</v>
      </c>
      <c r="G26" s="313">
        <f>IF(ISERROR($E26*F26),"NM",IF($E26*F26&gt;0,IF(E26/F26&gt;2,"NM",(E26-F26)*100),"NM"))</f>
        <v>0.19703507245656393</v>
      </c>
      <c r="H26" s="186"/>
      <c r="I26" s="855">
        <v>0.50449680439119871</v>
      </c>
      <c r="J26" s="855">
        <v>0.52368597869981337</v>
      </c>
      <c r="K26" s="856">
        <f>IF(ISERROR($I26*J26),"NM",IF($I26*J26&gt;0,IF($I26/J26&gt;2,"NM",($I26-J26)*100),"NM"))</f>
        <v>-1.9189174308614665</v>
      </c>
      <c r="L26" s="186"/>
      <c r="M26" s="855">
        <v>0.50557557489336491</v>
      </c>
      <c r="N26" s="856">
        <f>IF(ISERROR($I26*M26),"NM",IF($I26*M26&gt;0,IF(L26/M26&gt;2,"NM",($I26-M26)*100),"NM"))</f>
        <v>-0.10787705021662042</v>
      </c>
      <c r="O26" s="327"/>
      <c r="P26" s="855">
        <v>0.50056810426432174</v>
      </c>
      <c r="Q26" s="856">
        <f>IF(ISERROR($I26*P26),"NM",IF($I26*P26&gt;0,IF(O26/P26&gt;2,"NM",($I26-P26)*100),"NM"))</f>
        <v>0.39287001268769606</v>
      </c>
      <c r="R26" s="27"/>
      <c r="S26" s="855">
        <v>0.50557557489336491</v>
      </c>
      <c r="T26" s="855">
        <v>0.51911166185385937</v>
      </c>
      <c r="U26" s="855">
        <v>0.5115743681520496</v>
      </c>
      <c r="V26" s="855">
        <v>0.52172213716237836</v>
      </c>
      <c r="W26" s="855">
        <v>0.51826308545691635</v>
      </c>
      <c r="X26" s="855">
        <v>0.52337838998964881</v>
      </c>
      <c r="Y26" s="855">
        <v>0.51351086991272499</v>
      </c>
      <c r="Z26" s="855">
        <v>0.5210425224425338</v>
      </c>
      <c r="AA26" s="186"/>
      <c r="AB26" s="855">
        <v>0.52108201257842501</v>
      </c>
      <c r="AC26" s="855">
        <v>0.50056810426432174</v>
      </c>
      <c r="AD26" s="855">
        <v>0.52840859527059636</v>
      </c>
      <c r="AE26" s="855">
        <v>0.53489292497563623</v>
      </c>
      <c r="AF26" s="855">
        <v>0.52530368469569466</v>
      </c>
      <c r="AG26" s="855">
        <v>0.52717078396060213</v>
      </c>
      <c r="AH26" s="855">
        <v>0.52368597869981337</v>
      </c>
      <c r="AI26" s="191"/>
      <c r="AJ26" s="192"/>
    </row>
    <row r="27" spans="1:36" ht="12" x14ac:dyDescent="0.25">
      <c r="A27" s="3" t="s">
        <v>38</v>
      </c>
      <c r="B27" s="18"/>
      <c r="C27" s="366" t="s">
        <v>79</v>
      </c>
      <c r="D27" s="249"/>
      <c r="E27" s="266">
        <v>1446.2808325099998</v>
      </c>
      <c r="F27" s="266">
        <v>1458.4325185785551</v>
      </c>
      <c r="G27" s="305">
        <f t="shared" si="2"/>
        <v>-8.3320180493499096E-3</v>
      </c>
      <c r="H27" s="27"/>
      <c r="I27" s="14">
        <v>357.17033314999981</v>
      </c>
      <c r="J27" s="14">
        <v>405.96062242000005</v>
      </c>
      <c r="K27" s="11">
        <f t="shared" si="3"/>
        <v>-0.12018478289631407</v>
      </c>
      <c r="L27" s="27"/>
      <c r="M27" s="14">
        <v>383.60360102000004</v>
      </c>
      <c r="N27" s="11">
        <f t="shared" si="0"/>
        <v>-6.8907767809567755E-2</v>
      </c>
      <c r="O27" s="329"/>
      <c r="P27" s="14">
        <v>411.15664819999967</v>
      </c>
      <c r="Q27" s="11">
        <f t="shared" si="1"/>
        <v>-0.1313035196836686</v>
      </c>
      <c r="R27" s="27"/>
      <c r="S27" s="14">
        <v>383.60360102000004</v>
      </c>
      <c r="T27" s="14">
        <v>1458.4325185785551</v>
      </c>
      <c r="U27" s="14">
        <v>378.64918837855527</v>
      </c>
      <c r="V27" s="14">
        <v>1079.7833301999999</v>
      </c>
      <c r="W27" s="14">
        <v>350.53021666000035</v>
      </c>
      <c r="X27" s="14">
        <v>729.2531135399995</v>
      </c>
      <c r="Y27" s="14">
        <v>364.76538040999986</v>
      </c>
      <c r="Z27" s="14">
        <v>337.04968188999965</v>
      </c>
      <c r="AA27" s="192"/>
      <c r="AB27" s="14">
        <v>1446.2808325099998</v>
      </c>
      <c r="AC27" s="14">
        <v>411.15664819999967</v>
      </c>
      <c r="AD27" s="14">
        <v>1035.1241843100001</v>
      </c>
      <c r="AE27" s="14">
        <v>277.06432040000004</v>
      </c>
      <c r="AF27" s="14">
        <v>758.0598639100001</v>
      </c>
      <c r="AG27" s="14">
        <v>352.09924149000005</v>
      </c>
      <c r="AH27" s="14">
        <v>405.96062242000005</v>
      </c>
      <c r="AI27" s="191"/>
      <c r="AJ27" s="192"/>
    </row>
    <row r="28" spans="1:36" ht="12" x14ac:dyDescent="0.2">
      <c r="A28" s="3" t="s">
        <v>39</v>
      </c>
      <c r="B28" s="10"/>
      <c r="C28" s="9" t="s">
        <v>80</v>
      </c>
      <c r="D28" s="250"/>
      <c r="E28" s="267">
        <v>1636.4865956499998</v>
      </c>
      <c r="F28" s="267">
        <v>1553.5641464485548</v>
      </c>
      <c r="G28" s="307">
        <f t="shared" si="2"/>
        <v>5.3375619790792417E-2</v>
      </c>
      <c r="H28" s="27"/>
      <c r="I28" s="847">
        <v>447.17198074999976</v>
      </c>
      <c r="J28" s="847">
        <v>434.49618916000003</v>
      </c>
      <c r="K28" s="848">
        <f t="shared" si="3"/>
        <v>2.9173539161541306E-2</v>
      </c>
      <c r="L28" s="27"/>
      <c r="M28" s="847">
        <v>406.75154943000007</v>
      </c>
      <c r="N28" s="848">
        <f t="shared" si="0"/>
        <v>9.9373761148894735E-2</v>
      </c>
      <c r="O28" s="329"/>
      <c r="P28" s="847">
        <v>449.10939844999973</v>
      </c>
      <c r="Q28" s="848">
        <f t="shared" si="1"/>
        <v>-4.3139103895097897E-3</v>
      </c>
      <c r="R28" s="27"/>
      <c r="S28" s="847">
        <v>406.75154943000007</v>
      </c>
      <c r="T28" s="847">
        <v>1553.5641464485548</v>
      </c>
      <c r="U28" s="847">
        <v>405.91248397188849</v>
      </c>
      <c r="V28" s="847">
        <v>1147.6516624766664</v>
      </c>
      <c r="W28" s="847">
        <v>374.27849594666696</v>
      </c>
      <c r="X28" s="847">
        <v>773.37316652999948</v>
      </c>
      <c r="Y28" s="847">
        <v>388.48841069999986</v>
      </c>
      <c r="Z28" s="847">
        <v>357.44670458999963</v>
      </c>
      <c r="AA28" s="192"/>
      <c r="AB28" s="847">
        <v>1636.4865956499998</v>
      </c>
      <c r="AC28" s="847">
        <v>449.10939844999973</v>
      </c>
      <c r="AD28" s="847">
        <v>1187.3771972000002</v>
      </c>
      <c r="AE28" s="847">
        <v>379.17584626000007</v>
      </c>
      <c r="AF28" s="847">
        <v>808.20135094000011</v>
      </c>
      <c r="AG28" s="847">
        <v>373.70516178000003</v>
      </c>
      <c r="AH28" s="847">
        <v>434.49618916000003</v>
      </c>
      <c r="AI28" s="191"/>
      <c r="AJ28" s="192"/>
    </row>
    <row r="29" spans="1:36" x14ac:dyDescent="0.2">
      <c r="A29" s="3" t="s">
        <v>41</v>
      </c>
      <c r="B29" s="49"/>
      <c r="C29" s="359" t="s">
        <v>82</v>
      </c>
      <c r="D29" s="245"/>
      <c r="E29" s="262">
        <v>393.66221627999994</v>
      </c>
      <c r="F29" s="262">
        <v>-12.82363262</v>
      </c>
      <c r="G29" s="300" t="str">
        <f t="shared" si="2"/>
        <v>NM</v>
      </c>
      <c r="H29" s="50"/>
      <c r="I29" s="52">
        <v>-3.0518472300000004</v>
      </c>
      <c r="J29" s="52">
        <v>-4.4232131800000003</v>
      </c>
      <c r="K29" s="53">
        <f t="shared" si="3"/>
        <v>-0.31003840289696372</v>
      </c>
      <c r="L29" s="50"/>
      <c r="M29" s="52">
        <v>-4.3474707200000005</v>
      </c>
      <c r="N29" s="53">
        <f t="shared" si="0"/>
        <v>-0.29801776100288491</v>
      </c>
      <c r="O29" s="325"/>
      <c r="P29" s="52">
        <v>-1.5431881400000007</v>
      </c>
      <c r="Q29" s="53">
        <f t="shared" si="1"/>
        <v>0.97762486043989361</v>
      </c>
      <c r="R29" s="50"/>
      <c r="S29" s="52">
        <v>-4.3474707200000005</v>
      </c>
      <c r="T29" s="52">
        <v>-12.82363262</v>
      </c>
      <c r="U29" s="52">
        <v>-2.9422216500000018</v>
      </c>
      <c r="V29" s="52">
        <v>-9.8814109699999975</v>
      </c>
      <c r="W29" s="52">
        <v>-1.6832491900000006</v>
      </c>
      <c r="X29" s="52">
        <v>-8.1981617799999977</v>
      </c>
      <c r="Y29" s="52">
        <v>-8.0713973699999979</v>
      </c>
      <c r="Z29" s="52">
        <v>-1.03639942</v>
      </c>
      <c r="AA29" s="192"/>
      <c r="AB29" s="52">
        <v>393.66221627999994</v>
      </c>
      <c r="AC29" s="52">
        <v>-1.5431881400000007</v>
      </c>
      <c r="AD29" s="52">
        <v>395.20540441999992</v>
      </c>
      <c r="AE29" s="52">
        <v>-1.3350708400000091</v>
      </c>
      <c r="AF29" s="52">
        <v>396.54047525999994</v>
      </c>
      <c r="AG29" s="52">
        <v>400.96368843999994</v>
      </c>
      <c r="AH29" s="52">
        <v>-4.4232131800000003</v>
      </c>
      <c r="AI29" s="191"/>
      <c r="AJ29" s="192"/>
    </row>
    <row r="30" spans="1:36" x14ac:dyDescent="0.2">
      <c r="A30" s="3" t="s">
        <v>221</v>
      </c>
      <c r="B30" s="49"/>
      <c r="C30" s="367" t="s">
        <v>227</v>
      </c>
      <c r="D30" s="245"/>
      <c r="E30" s="263">
        <v>-8.3972613399999876</v>
      </c>
      <c r="F30" s="263">
        <v>-12.82363262</v>
      </c>
      <c r="G30" s="301">
        <f>IF(ISERROR($E30*F30),"NM",IF($E30*F30&gt;0,IF(E30/F30&gt;2,"NM",E30/F30-1),"NM"))</f>
        <v>-0.34517296394600017</v>
      </c>
      <c r="H30" s="50"/>
      <c r="I30" s="841">
        <v>-3.0518472300000004</v>
      </c>
      <c r="J30" s="841">
        <v>-4.4232131800000003</v>
      </c>
      <c r="K30" s="842">
        <f>IF(ISERROR($I30*J30),"NM",IF($I30*J30&gt;0,IF(I30/J30&gt;2,"NM",I30/J30-1),"NM"))</f>
        <v>-0.31003840289696372</v>
      </c>
      <c r="L30" s="50"/>
      <c r="M30" s="841">
        <v>-4.3474707200000005</v>
      </c>
      <c r="N30" s="842">
        <f>IF(ISERROR($I30*M30),"NM",IF($I30*M30&gt;0,IF(I30/M30&gt;2,"NM",I30/M30-1),"NM"))</f>
        <v>-0.29801776100288491</v>
      </c>
      <c r="O30" s="325"/>
      <c r="P30" s="841">
        <v>-1.5433921400000006</v>
      </c>
      <c r="Q30" s="842">
        <f t="shared" si="1"/>
        <v>0.97736346512688543</v>
      </c>
      <c r="R30" s="50"/>
      <c r="S30" s="841">
        <v>-4.3474707200000005</v>
      </c>
      <c r="T30" s="841">
        <v>-12.82363262</v>
      </c>
      <c r="U30" s="841">
        <v>-2.9422216500000018</v>
      </c>
      <c r="V30" s="841">
        <v>-9.8814109699999975</v>
      </c>
      <c r="W30" s="841">
        <v>-1.6832491900000006</v>
      </c>
      <c r="X30" s="841">
        <v>-8.1981617799999977</v>
      </c>
      <c r="Y30" s="841">
        <v>-8.0713973699999979</v>
      </c>
      <c r="Z30" s="841">
        <v>-1.03639942</v>
      </c>
      <c r="AA30" s="192"/>
      <c r="AB30" s="841">
        <v>-8.3972613399999876</v>
      </c>
      <c r="AC30" s="841">
        <v>-1.5433921400000006</v>
      </c>
      <c r="AD30" s="841">
        <v>-6.8538691999999868</v>
      </c>
      <c r="AE30" s="841">
        <v>-1.0113448400000091</v>
      </c>
      <c r="AF30" s="841">
        <v>-5.8425243599999774</v>
      </c>
      <c r="AG30" s="841">
        <v>-1.4193111799999771</v>
      </c>
      <c r="AH30" s="841">
        <v>-4.4232131800000003</v>
      </c>
      <c r="AI30" s="191"/>
      <c r="AJ30" s="192"/>
    </row>
    <row r="31" spans="1:36" ht="12" x14ac:dyDescent="0.25">
      <c r="A31" s="3" t="s">
        <v>427</v>
      </c>
      <c r="B31" s="18"/>
      <c r="C31" s="54" t="s">
        <v>500</v>
      </c>
      <c r="D31" s="245"/>
      <c r="E31" s="263"/>
      <c r="F31" s="263"/>
      <c r="G31" s="301"/>
      <c r="H31" s="50"/>
      <c r="I31" s="52">
        <v>143.95979205999998</v>
      </c>
      <c r="J31" s="52">
        <v>27.52491075</v>
      </c>
      <c r="K31" s="53" t="str">
        <f>IF(ISERROR($I31*J31),"NM",IF($I31*J31&gt;0,IF(I31/J31&gt;2,"NM",I31/J31-1),"NM"))</f>
        <v>NM</v>
      </c>
      <c r="L31" s="237"/>
      <c r="M31" s="52">
        <v>45.262883389999999</v>
      </c>
      <c r="N31" s="53" t="str">
        <f>IF(ISERROR($I31*M31),"NM",IF($I31*M31&gt;0,IF(I31/M31&gt;2,"NM",I31/M31-1),"NM"))</f>
        <v>NM</v>
      </c>
      <c r="O31" s="325"/>
      <c r="P31" s="52">
        <v>64.348960579999996</v>
      </c>
      <c r="Q31" s="53" t="str">
        <f>IF(ISERROR($I31*P31),"NM",IF($I31*P31&gt;0,IF($I31/P31&gt;2,"NM",$I31/P31-1),"NM"))</f>
        <v>NM</v>
      </c>
      <c r="R31" s="237"/>
      <c r="S31" s="52">
        <v>45.262883389999999</v>
      </c>
      <c r="T31" s="52">
        <v>200.3367115083872</v>
      </c>
      <c r="U31" s="52">
        <v>50.895617198387249</v>
      </c>
      <c r="V31" s="52">
        <v>149.44109430999995</v>
      </c>
      <c r="W31" s="52">
        <v>56.305504030000009</v>
      </c>
      <c r="X31" s="52">
        <v>93.135590279999946</v>
      </c>
      <c r="Y31" s="52">
        <v>64.544148039999953</v>
      </c>
      <c r="Z31" s="52">
        <v>50.033924420000012</v>
      </c>
      <c r="AA31" s="192"/>
      <c r="AB31" s="52">
        <v>201.26011079</v>
      </c>
      <c r="AC31" s="52">
        <v>64.348960579999996</v>
      </c>
      <c r="AD31" s="52">
        <v>136.91115021000002</v>
      </c>
      <c r="AE31" s="52">
        <v>51.406667530000007</v>
      </c>
      <c r="AF31" s="52">
        <v>85.504482679999995</v>
      </c>
      <c r="AG31" s="52">
        <v>57.979571929999999</v>
      </c>
      <c r="AH31" s="52">
        <v>27.52491075</v>
      </c>
      <c r="AI31" s="191"/>
      <c r="AJ31" s="192"/>
    </row>
    <row r="32" spans="1:36" ht="12" x14ac:dyDescent="0.25">
      <c r="A32" s="3" t="s">
        <v>428</v>
      </c>
      <c r="B32" s="18"/>
      <c r="C32" s="83" t="s">
        <v>502</v>
      </c>
      <c r="D32" s="245"/>
      <c r="E32" s="263"/>
      <c r="F32" s="263"/>
      <c r="G32" s="301"/>
      <c r="H32" s="50"/>
      <c r="I32" s="841">
        <v>65.743176800000001</v>
      </c>
      <c r="J32" s="841">
        <v>27.52491075</v>
      </c>
      <c r="K32" s="842" t="str">
        <f>IF(ISERROR($I32*J32),"NM",IF($I32*J32&gt;0,IF(I32/J32&gt;2,"NM",I32/J32-1),"NM"))</f>
        <v>NM</v>
      </c>
      <c r="L32" s="50"/>
      <c r="M32" s="841">
        <v>49.357473239999997</v>
      </c>
      <c r="N32" s="842">
        <f>IF(ISERROR($I32*M32),"NM",IF($I32*M32&gt;0,IF(I32/M32&gt;2,"NM",I32/M32-1),"NM"))</f>
        <v>0.33198019437349968</v>
      </c>
      <c r="O32" s="325"/>
      <c r="P32" s="841">
        <v>71.07068731999999</v>
      </c>
      <c r="Q32" s="842">
        <f>IF(ISERROR($I32*P32),"NM",IF($I32*P32&gt;0,IF($I32/P32&gt;2,"NM",$I32/P32-1),"NM"))</f>
        <v>-7.4960728830615553E-2</v>
      </c>
      <c r="R32" s="50"/>
      <c r="S32" s="841">
        <v>49.357473239999997</v>
      </c>
      <c r="T32" s="841">
        <v>208.41909670280006</v>
      </c>
      <c r="U32" s="841">
        <v>58.9780023928001</v>
      </c>
      <c r="V32" s="841">
        <v>149.44109430999995</v>
      </c>
      <c r="W32" s="841">
        <v>56.305504030000009</v>
      </c>
      <c r="X32" s="841">
        <v>93.135590279999946</v>
      </c>
      <c r="Y32" s="841">
        <v>64.544148039999953</v>
      </c>
      <c r="Z32" s="841">
        <v>50.033924420000012</v>
      </c>
      <c r="AA32" s="192"/>
      <c r="AB32" s="841">
        <v>230.10389071999998</v>
      </c>
      <c r="AC32" s="841">
        <v>71.07068731999999</v>
      </c>
      <c r="AD32" s="841">
        <v>159.03320339999999</v>
      </c>
      <c r="AE32" s="841">
        <v>66.886194649999993</v>
      </c>
      <c r="AF32" s="841">
        <v>92.147008750000012</v>
      </c>
      <c r="AG32" s="841">
        <v>64.622098000000008</v>
      </c>
      <c r="AH32" s="841">
        <v>27.52491075</v>
      </c>
      <c r="AI32" s="191"/>
      <c r="AJ32" s="192"/>
    </row>
    <row r="33" spans="1:36" x14ac:dyDescent="0.2">
      <c r="A33" s="3" t="s">
        <v>429</v>
      </c>
      <c r="B33" s="49"/>
      <c r="C33" s="730" t="s">
        <v>503</v>
      </c>
      <c r="D33" s="245"/>
      <c r="E33" s="263"/>
      <c r="F33" s="263"/>
      <c r="G33" s="301"/>
      <c r="H33" s="50"/>
      <c r="I33" s="52">
        <v>28.65396037</v>
      </c>
      <c r="J33" s="52">
        <v>27.523162749999997</v>
      </c>
      <c r="K33" s="53">
        <f>IF(ISERROR($I33*J33),"NM",IF($I33*J33&gt;0,IF(I33/J33&gt;2,"NM",I33/J33-1),"NM"))</f>
        <v>4.1085308046583613E-2</v>
      </c>
      <c r="L33" s="237"/>
      <c r="M33" s="52">
        <v>27.523162749999997</v>
      </c>
      <c r="N33" s="53">
        <f>IF(ISERROR($I33*M33),"NM",IF($I33*M33&gt;0,IF(I33/M33&gt;2,"NM",I33/M33-1),"NM"))</f>
        <v>4.1085308046583613E-2</v>
      </c>
      <c r="O33" s="325"/>
      <c r="P33" s="52">
        <v>35.80300231999999</v>
      </c>
      <c r="Q33" s="53">
        <f>IF(ISERROR($I33*P33),"NM",IF($I33*P33&gt;0,IF($I33/P33&gt;2,"NM",$I33/P33-1),"NM"))</f>
        <v>-0.19967716355470133</v>
      </c>
      <c r="R33" s="237"/>
      <c r="S33" s="52">
        <v>27.523162749999997</v>
      </c>
      <c r="T33" s="52">
        <v>123.34542582</v>
      </c>
      <c r="U33" s="52">
        <v>29.307624059999988</v>
      </c>
      <c r="V33" s="52">
        <v>94.037801760000008</v>
      </c>
      <c r="W33" s="52">
        <v>32.70926673000001</v>
      </c>
      <c r="X33" s="52">
        <v>61.328535029999998</v>
      </c>
      <c r="Y33" s="52">
        <v>32.737092789999998</v>
      </c>
      <c r="Z33" s="52">
        <v>28.591442239999999</v>
      </c>
      <c r="AA33" s="192"/>
      <c r="AB33" s="52">
        <v>135.19282808</v>
      </c>
      <c r="AC33" s="52">
        <v>35.80300231999999</v>
      </c>
      <c r="AD33" s="52">
        <v>99.389825759999979</v>
      </c>
      <c r="AE33" s="52">
        <v>33.70645313</v>
      </c>
      <c r="AF33" s="52">
        <v>65.683372629999994</v>
      </c>
      <c r="AG33" s="52">
        <v>38.160209880000004</v>
      </c>
      <c r="AH33" s="52">
        <v>27.523162749999997</v>
      </c>
      <c r="AI33" s="191"/>
      <c r="AJ33" s="192"/>
    </row>
    <row r="34" spans="1:36" x14ac:dyDescent="0.2">
      <c r="A34" s="3" t="s">
        <v>455</v>
      </c>
      <c r="B34" s="49"/>
      <c r="C34" s="730" t="s">
        <v>504</v>
      </c>
      <c r="D34" s="245"/>
      <c r="E34" s="263"/>
      <c r="F34" s="263"/>
      <c r="G34" s="301"/>
      <c r="H34" s="50"/>
      <c r="I34" s="52">
        <v>30.577416020000001</v>
      </c>
      <c r="J34" s="52">
        <v>0</v>
      </c>
      <c r="K34" s="53" t="str">
        <f>IF(ISERROR($I34*J34),"NM",IF($I34*J34&gt;0,IF(I34/J34&gt;2,"NM",I34/J34-1),"NM"))</f>
        <v>NM</v>
      </c>
      <c r="L34" s="237"/>
      <c r="M34" s="52">
        <v>17.737972640000002</v>
      </c>
      <c r="N34" s="53">
        <f>IF(ISERROR($I34*M34),"NM",IF($I34*M34&gt;0,IF(I34/M34&gt;2,"NM",I34/M34-1),"NM"))</f>
        <v>0.72383939475960291</v>
      </c>
      <c r="O34" s="325"/>
      <c r="P34" s="52">
        <v>28.522780259999998</v>
      </c>
      <c r="Q34" s="53">
        <f>IF(ISERROR($I34*P34),"NM",IF($I34*P34&gt;0,IF($I34/P34&gt;2,"NM",$I34/P34-1),"NM"))</f>
        <v>7.2034904776846043E-2</v>
      </c>
      <c r="R34" s="237"/>
      <c r="S34" s="52">
        <v>17.737972640000002</v>
      </c>
      <c r="T34" s="52">
        <v>76.991285688387222</v>
      </c>
      <c r="U34" s="52">
        <v>21.587993138387262</v>
      </c>
      <c r="V34" s="52">
        <v>55.403292549999961</v>
      </c>
      <c r="W34" s="52">
        <v>23.596237299999999</v>
      </c>
      <c r="X34" s="52">
        <v>31.807055249999962</v>
      </c>
      <c r="Y34" s="52">
        <v>31.807055249999962</v>
      </c>
      <c r="Z34" s="52">
        <v>21.442482180000013</v>
      </c>
      <c r="AA34" s="192"/>
      <c r="AB34" s="52">
        <v>66.066518709999997</v>
      </c>
      <c r="AC34" s="52">
        <v>28.522780259999998</v>
      </c>
      <c r="AD34" s="52">
        <v>37.543738450000006</v>
      </c>
      <c r="AE34" s="52">
        <v>17.726690400000003</v>
      </c>
      <c r="AF34" s="52">
        <v>19.81704805</v>
      </c>
      <c r="AG34" s="52">
        <v>19.81704805</v>
      </c>
      <c r="AH34" s="52">
        <v>0</v>
      </c>
      <c r="AI34" s="191"/>
      <c r="AJ34" s="192"/>
    </row>
    <row r="35" spans="1:36" x14ac:dyDescent="0.2">
      <c r="A35" s="3" t="s">
        <v>452</v>
      </c>
      <c r="B35" s="49"/>
      <c r="C35" s="731" t="s">
        <v>505</v>
      </c>
      <c r="D35" s="245"/>
      <c r="E35" s="262">
        <v>94.910298639999993</v>
      </c>
      <c r="F35" s="262">
        <v>85.073670882800073</v>
      </c>
      <c r="G35" s="300">
        <f t="shared" si="2"/>
        <v>0.11562481852641748</v>
      </c>
      <c r="H35" s="50"/>
      <c r="I35" s="841">
        <v>37.088665210000002</v>
      </c>
      <c r="J35" s="841">
        <v>0</v>
      </c>
      <c r="K35" s="842" t="str">
        <f t="shared" si="3"/>
        <v>NM</v>
      </c>
      <c r="L35" s="876"/>
      <c r="M35" s="841">
        <v>21.832562490000001</v>
      </c>
      <c r="N35" s="842">
        <f t="shared" si="0"/>
        <v>0.69877746723444734</v>
      </c>
      <c r="O35" s="325"/>
      <c r="P35" s="841">
        <v>35.244506999999999</v>
      </c>
      <c r="Q35" s="842">
        <f t="shared" si="1"/>
        <v>5.2324698711206263E-2</v>
      </c>
      <c r="R35" s="50"/>
      <c r="S35" s="841">
        <v>21.832562490000001</v>
      </c>
      <c r="T35" s="841">
        <v>85.073670882800073</v>
      </c>
      <c r="U35" s="841">
        <v>29.670378332800112</v>
      </c>
      <c r="V35" s="841">
        <v>55.403292549999961</v>
      </c>
      <c r="W35" s="841">
        <v>23.596237299999999</v>
      </c>
      <c r="X35" s="841">
        <v>31.807055249999962</v>
      </c>
      <c r="Y35" s="841">
        <v>31.807055249999962</v>
      </c>
      <c r="Z35" s="841">
        <v>21.442482180000013</v>
      </c>
      <c r="AA35" s="192"/>
      <c r="AB35" s="841">
        <v>94.910298639999993</v>
      </c>
      <c r="AC35" s="841">
        <v>35.244506999999999</v>
      </c>
      <c r="AD35" s="841">
        <v>59.665791640000009</v>
      </c>
      <c r="AE35" s="841">
        <v>33.206217520000003</v>
      </c>
      <c r="AF35" s="841">
        <v>26.459574120000003</v>
      </c>
      <c r="AG35" s="841">
        <v>26.459574120000003</v>
      </c>
      <c r="AH35" s="841">
        <v>0</v>
      </c>
      <c r="AI35" s="191"/>
      <c r="AJ35" s="192"/>
    </row>
    <row r="36" spans="1:36" x14ac:dyDescent="0.2">
      <c r="A36" s="3" t="s">
        <v>430</v>
      </c>
      <c r="B36" s="49"/>
      <c r="C36" s="730" t="s">
        <v>482</v>
      </c>
      <c r="D36" s="245"/>
      <c r="E36" s="262">
        <v>0</v>
      </c>
      <c r="F36" s="262">
        <v>0</v>
      </c>
      <c r="G36" s="300" t="str">
        <f t="shared" si="2"/>
        <v>NM</v>
      </c>
      <c r="H36" s="50"/>
      <c r="I36" s="52">
        <v>84.727864449999998</v>
      </c>
      <c r="J36" s="52">
        <v>0</v>
      </c>
      <c r="K36" s="53" t="str">
        <f t="shared" si="3"/>
        <v>NM</v>
      </c>
      <c r="L36" s="50"/>
      <c r="M36" s="52">
        <v>0</v>
      </c>
      <c r="N36" s="53" t="str">
        <f t="shared" si="0"/>
        <v>NM</v>
      </c>
      <c r="O36" s="325"/>
      <c r="P36" s="52">
        <v>0</v>
      </c>
      <c r="Q36" s="53" t="str">
        <f t="shared" si="1"/>
        <v>NM</v>
      </c>
      <c r="R36" s="50"/>
      <c r="S36" s="52">
        <v>0</v>
      </c>
      <c r="T36" s="52">
        <v>0</v>
      </c>
      <c r="U36" s="52">
        <v>0</v>
      </c>
      <c r="V36" s="52">
        <v>0</v>
      </c>
      <c r="W36" s="52">
        <v>0</v>
      </c>
      <c r="X36" s="52">
        <v>0</v>
      </c>
      <c r="Y36" s="52">
        <v>0</v>
      </c>
      <c r="Z36" s="52">
        <v>0</v>
      </c>
      <c r="AA36" s="192"/>
      <c r="AB36" s="52">
        <v>0</v>
      </c>
      <c r="AC36" s="52">
        <v>0</v>
      </c>
      <c r="AD36" s="52">
        <v>0</v>
      </c>
      <c r="AE36" s="52">
        <v>0</v>
      </c>
      <c r="AF36" s="52">
        <v>0</v>
      </c>
      <c r="AG36" s="52">
        <v>0</v>
      </c>
      <c r="AH36" s="52">
        <v>0</v>
      </c>
      <c r="AI36" s="191"/>
      <c r="AJ36" s="192"/>
    </row>
    <row r="37" spans="1:36" x14ac:dyDescent="0.2">
      <c r="A37" s="3" t="s">
        <v>432</v>
      </c>
      <c r="B37" s="49"/>
      <c r="C37" s="731" t="s">
        <v>506</v>
      </c>
      <c r="D37" s="245"/>
      <c r="E37" s="263">
        <v>0</v>
      </c>
      <c r="F37" s="263">
        <v>0</v>
      </c>
      <c r="G37" s="301" t="str">
        <f>IF(ISERROR($E37*F37),"NM",IF($E37*F37&gt;0,IF(E37/F37&gt;2,"NM",E37/F37-1),"NM"))</f>
        <v>NM</v>
      </c>
      <c r="H37" s="50"/>
      <c r="I37" s="841">
        <v>0</v>
      </c>
      <c r="J37" s="841">
        <v>0</v>
      </c>
      <c r="K37" s="842" t="str">
        <f>IF(ISERROR($I37*J37),"NM",IF($I37*J37&gt;0,IF(I37/J37&gt;2,"NM",I37/J37-1),"NM"))</f>
        <v>NM</v>
      </c>
      <c r="L37" s="50"/>
      <c r="M37" s="841">
        <v>0</v>
      </c>
      <c r="N37" s="842" t="str">
        <f t="shared" si="0"/>
        <v>NM</v>
      </c>
      <c r="O37" s="325"/>
      <c r="P37" s="841">
        <v>0</v>
      </c>
      <c r="Q37" s="842" t="str">
        <f t="shared" si="1"/>
        <v>NM</v>
      </c>
      <c r="R37" s="50"/>
      <c r="S37" s="841">
        <v>0</v>
      </c>
      <c r="T37" s="841">
        <v>0</v>
      </c>
      <c r="U37" s="841">
        <v>0</v>
      </c>
      <c r="V37" s="841">
        <v>0</v>
      </c>
      <c r="W37" s="841">
        <v>0</v>
      </c>
      <c r="X37" s="841">
        <v>0</v>
      </c>
      <c r="Y37" s="841">
        <v>0</v>
      </c>
      <c r="Z37" s="841">
        <v>0</v>
      </c>
      <c r="AA37" s="192"/>
      <c r="AB37" s="841">
        <v>0</v>
      </c>
      <c r="AC37" s="841">
        <v>0</v>
      </c>
      <c r="AD37" s="841">
        <v>0</v>
      </c>
      <c r="AE37" s="841">
        <v>0</v>
      </c>
      <c r="AF37" s="841">
        <v>0</v>
      </c>
      <c r="AG37" s="841">
        <v>0</v>
      </c>
      <c r="AH37" s="841">
        <v>0</v>
      </c>
      <c r="AI37" s="191"/>
      <c r="AJ37" s="192"/>
    </row>
    <row r="38" spans="1:36" ht="12" x14ac:dyDescent="0.25">
      <c r="A38" s="3" t="s">
        <v>43</v>
      </c>
      <c r="B38" s="18"/>
      <c r="C38" s="366" t="s">
        <v>222</v>
      </c>
      <c r="D38" s="249"/>
      <c r="E38" s="266">
        <v>2041.2031595799999</v>
      </c>
      <c r="F38" s="266">
        <v>1645.9455974669424</v>
      </c>
      <c r="G38" s="305">
        <f t="shared" si="2"/>
        <v>0.24014011320990569</v>
      </c>
      <c r="H38" s="27"/>
      <c r="I38" s="14">
        <v>498.07827797999977</v>
      </c>
      <c r="J38" s="14">
        <v>429.06231998999999</v>
      </c>
      <c r="K38" s="11">
        <f t="shared" si="3"/>
        <v>0.16085299215183535</v>
      </c>
      <c r="L38" s="27"/>
      <c r="M38" s="14">
        <v>424.51901369000007</v>
      </c>
      <c r="N38" s="11">
        <f t="shared" si="0"/>
        <v>0.17327672475870659</v>
      </c>
      <c r="O38" s="329"/>
      <c r="P38" s="14">
        <v>473.96242063999978</v>
      </c>
      <c r="Q38" s="11">
        <f t="shared" si="1"/>
        <v>5.088137010406002E-2</v>
      </c>
      <c r="R38" s="27"/>
      <c r="S38" s="14">
        <v>424.51901369000007</v>
      </c>
      <c r="T38" s="14">
        <v>1645.9455974669424</v>
      </c>
      <c r="U38" s="14">
        <v>426.60258392694254</v>
      </c>
      <c r="V38" s="14">
        <v>1219.3430135399999</v>
      </c>
      <c r="W38" s="14">
        <v>405.15247150000039</v>
      </c>
      <c r="X38" s="14">
        <v>814.19054203999951</v>
      </c>
      <c r="Y38" s="14">
        <v>421.23813107999979</v>
      </c>
      <c r="Z38" s="14">
        <v>386.04720688999964</v>
      </c>
      <c r="AA38" s="192"/>
      <c r="AB38" s="14">
        <v>2041.2031595799999</v>
      </c>
      <c r="AC38" s="14">
        <v>473.96242063999978</v>
      </c>
      <c r="AD38" s="14">
        <v>1567.24073894</v>
      </c>
      <c r="AE38" s="14">
        <v>327.13591709000002</v>
      </c>
      <c r="AF38" s="14">
        <v>1240.10482185</v>
      </c>
      <c r="AG38" s="14">
        <v>811.04250186000002</v>
      </c>
      <c r="AH38" s="14">
        <v>429.06231998999999</v>
      </c>
      <c r="AI38" s="191"/>
      <c r="AJ38" s="192"/>
    </row>
    <row r="39" spans="1:36" ht="12" x14ac:dyDescent="0.25">
      <c r="A39" s="3" t="s">
        <v>44</v>
      </c>
      <c r="C39" s="363" t="s">
        <v>223</v>
      </c>
      <c r="D39" s="192"/>
      <c r="E39" s="267">
        <v>1858.1932250299997</v>
      </c>
      <c r="F39" s="267">
        <v>1749.1596105313549</v>
      </c>
      <c r="G39" s="307">
        <f t="shared" si="2"/>
        <v>6.2334857174939362E-2</v>
      </c>
      <c r="H39" s="27"/>
      <c r="I39" s="847">
        <v>509.86331031999975</v>
      </c>
      <c r="J39" s="847">
        <v>457.59788673000003</v>
      </c>
      <c r="K39" s="848">
        <f t="shared" si="3"/>
        <v>0.11421692517745008</v>
      </c>
      <c r="L39" s="27"/>
      <c r="M39" s="847">
        <v>451.76155195000001</v>
      </c>
      <c r="N39" s="848">
        <f t="shared" si="0"/>
        <v>0.12861156094228732</v>
      </c>
      <c r="O39" s="329"/>
      <c r="P39" s="847">
        <v>518.63669362999974</v>
      </c>
      <c r="Q39" s="848">
        <f t="shared" si="1"/>
        <v>-1.6916241017568612E-2</v>
      </c>
      <c r="R39" s="27"/>
      <c r="S39" s="847">
        <v>451.76155195000001</v>
      </c>
      <c r="T39" s="847">
        <v>1749.1596105313549</v>
      </c>
      <c r="U39" s="847">
        <v>461.94826471468855</v>
      </c>
      <c r="V39" s="847">
        <v>1287.2113458166666</v>
      </c>
      <c r="W39" s="847">
        <v>428.90075078666695</v>
      </c>
      <c r="X39" s="847">
        <v>858.31059502999949</v>
      </c>
      <c r="Y39" s="847">
        <v>444.96116136999984</v>
      </c>
      <c r="Z39" s="847">
        <v>406.44422958999962</v>
      </c>
      <c r="AA39" s="192"/>
      <c r="AB39" s="847">
        <v>1858.1932250299997</v>
      </c>
      <c r="AC39" s="847">
        <v>518.63669362999974</v>
      </c>
      <c r="AD39" s="847">
        <v>1339.5565314</v>
      </c>
      <c r="AE39" s="847">
        <v>445.05069607000007</v>
      </c>
      <c r="AF39" s="847">
        <v>894.50583532999997</v>
      </c>
      <c r="AG39" s="847">
        <v>436.90794859999994</v>
      </c>
      <c r="AH39" s="847">
        <v>457.59788673000003</v>
      </c>
      <c r="AI39" s="191"/>
      <c r="AJ39" s="192"/>
    </row>
    <row r="40" spans="1:36" x14ac:dyDescent="0.2">
      <c r="A40" s="3" t="s">
        <v>46</v>
      </c>
      <c r="B40" s="49"/>
      <c r="C40" s="359" t="s">
        <v>85</v>
      </c>
      <c r="D40" s="245"/>
      <c r="E40" s="262">
        <v>-451.96558925999994</v>
      </c>
      <c r="F40" s="262">
        <v>-343.61526091694219</v>
      </c>
      <c r="G40" s="300">
        <f t="shared" si="2"/>
        <v>0.31532455239014512</v>
      </c>
      <c r="H40" s="50"/>
      <c r="I40" s="52">
        <v>-153.61864051000001</v>
      </c>
      <c r="J40" s="52">
        <v>-147.08888506</v>
      </c>
      <c r="K40" s="53">
        <f t="shared" si="3"/>
        <v>4.4393262260002953E-2</v>
      </c>
      <c r="L40" s="50"/>
      <c r="M40" s="52">
        <v>-142.51557875999998</v>
      </c>
      <c r="N40" s="53">
        <f t="shared" si="0"/>
        <v>7.7907705575808395E-2</v>
      </c>
      <c r="O40" s="325"/>
      <c r="P40" s="52">
        <v>-128.21276412999998</v>
      </c>
      <c r="Q40" s="53">
        <f t="shared" si="1"/>
        <v>0.19815403366734996</v>
      </c>
      <c r="R40" s="50"/>
      <c r="S40" s="52">
        <v>-142.51557875999998</v>
      </c>
      <c r="T40" s="52">
        <v>-343.61526091694219</v>
      </c>
      <c r="U40" s="52">
        <v>-78.011814676942222</v>
      </c>
      <c r="V40" s="52">
        <v>-265.60344623999998</v>
      </c>
      <c r="W40" s="52">
        <v>-86.24533193000002</v>
      </c>
      <c r="X40" s="52">
        <v>-179.35811430999996</v>
      </c>
      <c r="Y40" s="52">
        <v>-88.559820549999955</v>
      </c>
      <c r="Z40" s="52">
        <v>-83.893089690000011</v>
      </c>
      <c r="AA40" s="192"/>
      <c r="AB40" s="52">
        <v>-451.96558925999994</v>
      </c>
      <c r="AC40" s="52">
        <v>-128.21276412999998</v>
      </c>
      <c r="AD40" s="52">
        <v>-323.75282512999996</v>
      </c>
      <c r="AE40" s="52">
        <v>-79.191882579999998</v>
      </c>
      <c r="AF40" s="52">
        <v>-244.56094254999996</v>
      </c>
      <c r="AG40" s="52">
        <v>-97.472057489999969</v>
      </c>
      <c r="AH40" s="52">
        <v>-147.08888506</v>
      </c>
      <c r="AI40" s="191"/>
      <c r="AJ40" s="192"/>
    </row>
    <row r="41" spans="1:36" x14ac:dyDescent="0.2">
      <c r="A41" s="3" t="s">
        <v>47</v>
      </c>
      <c r="B41" s="49"/>
      <c r="C41" s="367" t="s">
        <v>86</v>
      </c>
      <c r="D41" s="245"/>
      <c r="E41" s="263">
        <v>-507.49178209999997</v>
      </c>
      <c r="F41" s="263">
        <v>-369.70548991833817</v>
      </c>
      <c r="G41" s="301">
        <f t="shared" si="2"/>
        <v>0.37269203714582799</v>
      </c>
      <c r="H41" s="50"/>
      <c r="I41" s="841">
        <v>-159.84524768</v>
      </c>
      <c r="J41" s="841">
        <v>-155.13710482000002</v>
      </c>
      <c r="K41" s="842">
        <f t="shared" si="3"/>
        <v>3.0348270747108996E-2</v>
      </c>
      <c r="L41" s="50"/>
      <c r="M41" s="841">
        <v>-149.30077012000001</v>
      </c>
      <c r="N41" s="842">
        <f t="shared" si="0"/>
        <v>7.0625741257227981E-2</v>
      </c>
      <c r="O41" s="325"/>
      <c r="P41" s="841">
        <v>-142.93673589999997</v>
      </c>
      <c r="Q41" s="842">
        <f t="shared" si="1"/>
        <v>0.11829367498520038</v>
      </c>
      <c r="R41" s="50"/>
      <c r="S41" s="841">
        <v>-149.30077012000001</v>
      </c>
      <c r="T41" s="841">
        <v>-369.70548991833817</v>
      </c>
      <c r="U41" s="841">
        <v>-85.43014047342821</v>
      </c>
      <c r="V41" s="841">
        <v>-284.27534944490998</v>
      </c>
      <c r="W41" s="841">
        <v>-92.639311904970015</v>
      </c>
      <c r="X41" s="841">
        <v>-191.63603753993996</v>
      </c>
      <c r="Y41" s="841">
        <v>-95.135171994969951</v>
      </c>
      <c r="Z41" s="841">
        <v>-89.595661474970015</v>
      </c>
      <c r="AA41" s="192"/>
      <c r="AB41" s="841">
        <v>-507.49178209999997</v>
      </c>
      <c r="AC41" s="841">
        <v>-142.93673589999997</v>
      </c>
      <c r="AD41" s="841">
        <v>-364.55504619999999</v>
      </c>
      <c r="AE41" s="841">
        <v>-105.75193487000001</v>
      </c>
      <c r="AF41" s="841">
        <v>-258.80311132999998</v>
      </c>
      <c r="AG41" s="841">
        <v>-103.66600650999999</v>
      </c>
      <c r="AH41" s="841">
        <v>-155.13710482000002</v>
      </c>
      <c r="AI41" s="191"/>
      <c r="AJ41" s="192"/>
    </row>
    <row r="42" spans="1:36" x14ac:dyDescent="0.2">
      <c r="A42" s="3" t="s">
        <v>49</v>
      </c>
      <c r="B42" s="49"/>
      <c r="C42" s="359" t="s">
        <v>88</v>
      </c>
      <c r="D42" s="245"/>
      <c r="E42" s="262">
        <v>3.0040307099999999</v>
      </c>
      <c r="F42" s="262">
        <v>2.7913310100000008</v>
      </c>
      <c r="G42" s="300">
        <f t="shared" si="2"/>
        <v>7.620009924942539E-2</v>
      </c>
      <c r="H42" s="50"/>
      <c r="I42" s="52">
        <v>-0.52607792000000009</v>
      </c>
      <c r="J42" s="52">
        <v>0.91668713000000002</v>
      </c>
      <c r="K42" s="53" t="str">
        <f t="shared" si="3"/>
        <v>NM</v>
      </c>
      <c r="L42" s="50"/>
      <c r="M42" s="52">
        <v>0.91668713000000002</v>
      </c>
      <c r="N42" s="53" t="str">
        <f t="shared" si="0"/>
        <v>NM</v>
      </c>
      <c r="O42" s="325"/>
      <c r="P42" s="52">
        <v>0.25192077999999996</v>
      </c>
      <c r="Q42" s="53" t="str">
        <f t="shared" si="1"/>
        <v>NM</v>
      </c>
      <c r="R42" s="50"/>
      <c r="S42" s="52">
        <v>0.91668713000000002</v>
      </c>
      <c r="T42" s="52">
        <v>2.7913310100000008</v>
      </c>
      <c r="U42" s="52">
        <v>0.81022729000000071</v>
      </c>
      <c r="V42" s="52">
        <v>1.9811037200000001</v>
      </c>
      <c r="W42" s="52">
        <v>0.84751324000000006</v>
      </c>
      <c r="X42" s="52">
        <v>1.1335904800000001</v>
      </c>
      <c r="Y42" s="52">
        <v>0.33140102000000016</v>
      </c>
      <c r="Z42" s="52">
        <v>0.80218945999999991</v>
      </c>
      <c r="AA42" s="192"/>
      <c r="AB42" s="52">
        <v>3.0040307099999999</v>
      </c>
      <c r="AC42" s="52">
        <v>0.25192077999999996</v>
      </c>
      <c r="AD42" s="52">
        <v>2.75210993</v>
      </c>
      <c r="AE42" s="52">
        <v>0.61955785000000008</v>
      </c>
      <c r="AF42" s="52">
        <v>2.13255208</v>
      </c>
      <c r="AG42" s="52">
        <v>1.2158649500000001</v>
      </c>
      <c r="AH42" s="52">
        <v>0.91668713000000002</v>
      </c>
      <c r="AI42" s="191"/>
      <c r="AJ42" s="192"/>
    </row>
    <row r="43" spans="1:36" ht="12" x14ac:dyDescent="0.25">
      <c r="A43" s="3" t="s">
        <v>50</v>
      </c>
      <c r="B43" s="18"/>
      <c r="C43" s="366" t="s">
        <v>89</v>
      </c>
      <c r="D43" s="249"/>
      <c r="E43" s="266">
        <v>1592.2416010299999</v>
      </c>
      <c r="F43" s="266">
        <v>1305.1216675600003</v>
      </c>
      <c r="G43" s="305">
        <f t="shared" si="2"/>
        <v>0.2199947641715172</v>
      </c>
      <c r="H43" s="27"/>
      <c r="I43" s="14">
        <v>343.9335595499997</v>
      </c>
      <c r="J43" s="14">
        <v>282.89012205999995</v>
      </c>
      <c r="K43" s="11">
        <f t="shared" si="3"/>
        <v>0.21578497349247372</v>
      </c>
      <c r="L43" s="27"/>
      <c r="M43" s="14">
        <v>282.89012198</v>
      </c>
      <c r="N43" s="11">
        <f t="shared" si="0"/>
        <v>0.2157849738362918</v>
      </c>
      <c r="O43" s="329"/>
      <c r="P43" s="14">
        <v>346.00157728999977</v>
      </c>
      <c r="Q43" s="11">
        <f t="shared" si="1"/>
        <v>-5.9769026378361234E-3</v>
      </c>
      <c r="R43" s="27"/>
      <c r="S43" s="14">
        <v>282.89012198</v>
      </c>
      <c r="T43" s="14">
        <v>1305.1216675600003</v>
      </c>
      <c r="U43" s="14">
        <v>349.40099654000034</v>
      </c>
      <c r="V43" s="14">
        <v>955.72067101999994</v>
      </c>
      <c r="W43" s="14">
        <v>319.75465281000038</v>
      </c>
      <c r="X43" s="14">
        <v>635.96601820999956</v>
      </c>
      <c r="Y43" s="14">
        <v>333.00971154999985</v>
      </c>
      <c r="Z43" s="14">
        <v>302.95630665999965</v>
      </c>
      <c r="AA43" s="192"/>
      <c r="AB43" s="14">
        <v>1592.2416010299999</v>
      </c>
      <c r="AC43" s="14">
        <v>346.00157728999977</v>
      </c>
      <c r="AD43" s="14">
        <v>1246.24002374</v>
      </c>
      <c r="AE43" s="14">
        <v>248.56359236000003</v>
      </c>
      <c r="AF43" s="14">
        <v>997.67643137999994</v>
      </c>
      <c r="AG43" s="14">
        <v>714.78630931999999</v>
      </c>
      <c r="AH43" s="14">
        <v>282.89012205999995</v>
      </c>
      <c r="AI43" s="191"/>
      <c r="AJ43" s="192"/>
    </row>
    <row r="44" spans="1:36" ht="12" x14ac:dyDescent="0.2">
      <c r="A44" s="3" t="s">
        <v>51</v>
      </c>
      <c r="B44" s="10"/>
      <c r="C44" s="9" t="s">
        <v>90</v>
      </c>
      <c r="D44" s="250"/>
      <c r="E44" s="267">
        <v>1353.7054736399998</v>
      </c>
      <c r="F44" s="267">
        <v>1382.2454516230168</v>
      </c>
      <c r="G44" s="307">
        <f t="shared" si="2"/>
        <v>-2.0647547039858716E-2</v>
      </c>
      <c r="H44" s="27"/>
      <c r="I44" s="847">
        <v>349.49198471999978</v>
      </c>
      <c r="J44" s="847">
        <v>303.37746903999999</v>
      </c>
      <c r="K44" s="848">
        <f t="shared" si="3"/>
        <v>0.15200375896708285</v>
      </c>
      <c r="L44" s="27"/>
      <c r="M44" s="847">
        <v>303.37746895999999</v>
      </c>
      <c r="N44" s="848">
        <f t="shared" si="0"/>
        <v>0.15200375927086385</v>
      </c>
      <c r="O44" s="329"/>
      <c r="P44" s="847">
        <v>375.9518785099998</v>
      </c>
      <c r="Q44" s="848">
        <f t="shared" si="1"/>
        <v>-7.0381065509947272E-2</v>
      </c>
      <c r="R44" s="27"/>
      <c r="S44" s="847">
        <v>303.37746895999999</v>
      </c>
      <c r="T44" s="847">
        <v>1382.2454516230168</v>
      </c>
      <c r="U44" s="847">
        <v>377.32835153126035</v>
      </c>
      <c r="V44" s="847">
        <v>1004.9171000917564</v>
      </c>
      <c r="W44" s="847">
        <v>337.10895212169692</v>
      </c>
      <c r="X44" s="847">
        <v>667.80814797005951</v>
      </c>
      <c r="Y44" s="847">
        <v>350.15739039502989</v>
      </c>
      <c r="Z44" s="847">
        <v>317.65075757502962</v>
      </c>
      <c r="AA44" s="192"/>
      <c r="AB44" s="847">
        <v>1353.7054736399998</v>
      </c>
      <c r="AC44" s="847">
        <v>375.9518785099998</v>
      </c>
      <c r="AD44" s="847">
        <v>977.75359513000012</v>
      </c>
      <c r="AE44" s="847">
        <v>339.91831904999998</v>
      </c>
      <c r="AF44" s="847">
        <v>637.83527608000009</v>
      </c>
      <c r="AG44" s="847">
        <v>334.45780704000003</v>
      </c>
      <c r="AH44" s="847">
        <v>303.37746903999999</v>
      </c>
      <c r="AI44" s="191"/>
      <c r="AJ44" s="192"/>
    </row>
    <row r="45" spans="1:36" x14ac:dyDescent="0.2">
      <c r="A45" s="3"/>
      <c r="C45" s="368"/>
      <c r="D45" s="192"/>
      <c r="E45" s="273"/>
      <c r="F45" s="273"/>
      <c r="G45" s="316"/>
      <c r="H45" s="253"/>
      <c r="I45" s="251"/>
      <c r="J45" s="251"/>
      <c r="K45" s="252"/>
      <c r="L45" s="863"/>
      <c r="M45" s="251"/>
      <c r="N45" s="252"/>
      <c r="O45" s="252"/>
      <c r="P45" s="251"/>
      <c r="Q45" s="252"/>
      <c r="R45" s="253"/>
      <c r="S45" s="251"/>
      <c r="T45" s="251"/>
      <c r="U45" s="251"/>
      <c r="V45" s="251"/>
      <c r="W45" s="251"/>
      <c r="X45" s="251"/>
      <c r="Y45" s="251"/>
      <c r="Z45" s="251"/>
      <c r="AA45" s="192"/>
      <c r="AB45" s="251"/>
      <c r="AC45" s="251"/>
      <c r="AD45" s="251"/>
      <c r="AE45" s="251"/>
      <c r="AF45" s="251"/>
      <c r="AG45" s="251"/>
      <c r="AH45" s="251"/>
      <c r="AI45" s="191"/>
      <c r="AJ45" s="192"/>
    </row>
    <row r="46" spans="1:36" x14ac:dyDescent="0.2">
      <c r="A46" s="3"/>
      <c r="C46" s="368"/>
      <c r="D46" s="192"/>
      <c r="E46" s="273"/>
      <c r="F46" s="273"/>
      <c r="G46" s="316"/>
      <c r="H46" s="253"/>
      <c r="I46" s="251"/>
      <c r="J46" s="251"/>
      <c r="K46" s="252"/>
      <c r="L46" s="863"/>
      <c r="M46" s="251"/>
      <c r="N46" s="252"/>
      <c r="O46" s="252"/>
      <c r="P46" s="251"/>
      <c r="Q46" s="252"/>
      <c r="R46" s="253"/>
      <c r="S46" s="251"/>
      <c r="T46" s="251"/>
      <c r="U46" s="251"/>
      <c r="V46" s="251"/>
      <c r="W46" s="251"/>
      <c r="X46" s="251"/>
      <c r="Y46" s="251"/>
      <c r="Z46" s="251"/>
      <c r="AA46" s="192"/>
      <c r="AB46" s="251"/>
      <c r="AC46" s="251"/>
      <c r="AD46" s="251"/>
      <c r="AE46" s="251"/>
      <c r="AF46" s="251"/>
      <c r="AG46" s="251"/>
      <c r="AH46" s="251"/>
      <c r="AI46" s="191"/>
      <c r="AJ46" s="192"/>
    </row>
    <row r="47" spans="1:36" ht="12" x14ac:dyDescent="0.25">
      <c r="A47" s="3"/>
      <c r="C47" s="369" t="s">
        <v>65</v>
      </c>
      <c r="D47" s="192"/>
      <c r="E47" s="274"/>
      <c r="F47" s="274"/>
      <c r="G47" s="318"/>
      <c r="H47" s="24"/>
      <c r="I47" s="22"/>
      <c r="J47" s="22"/>
      <c r="K47" s="34"/>
      <c r="L47" s="24"/>
      <c r="M47" s="22"/>
      <c r="N47" s="34"/>
      <c r="O47" s="6"/>
      <c r="P47" s="22"/>
      <c r="Q47" s="34"/>
      <c r="R47" s="24"/>
      <c r="S47" s="22"/>
      <c r="T47" s="22"/>
      <c r="U47" s="22"/>
      <c r="V47" s="22"/>
      <c r="W47" s="22"/>
      <c r="X47" s="22"/>
      <c r="Y47" s="22"/>
      <c r="Z47" s="22"/>
      <c r="AA47" s="192"/>
      <c r="AB47" s="22"/>
      <c r="AC47" s="22"/>
      <c r="AD47" s="22"/>
      <c r="AE47" s="22"/>
      <c r="AF47" s="22"/>
      <c r="AG47" s="22"/>
      <c r="AH47" s="22"/>
      <c r="AI47" s="191"/>
      <c r="AJ47" s="192"/>
    </row>
    <row r="48" spans="1:36" x14ac:dyDescent="0.2">
      <c r="A48" s="3" t="s">
        <v>53</v>
      </c>
      <c r="B48" s="49"/>
      <c r="C48" s="359" t="s">
        <v>246</v>
      </c>
      <c r="D48" s="245"/>
      <c r="E48" s="262">
        <v>-73.36309593</v>
      </c>
      <c r="F48" s="262">
        <v>-87.332927460000008</v>
      </c>
      <c r="G48" s="300">
        <f>IF(ISERROR($E48*F48),"NM",IF($E48*F48&gt;0,IF(E48/F48&gt;2,"NM",E48/F48-1),"NM"))</f>
        <v>-0.15996064641710805</v>
      </c>
      <c r="H48" s="50"/>
      <c r="I48" s="52">
        <v>-18.376647599999998</v>
      </c>
      <c r="J48" s="52">
        <v>-18.314302480000002</v>
      </c>
      <c r="K48" s="53">
        <f>IF(ISERROR($I48*J48),"NM",IF($I48*J48&gt;0,IF(I48/J48&gt;2,"NM",I48/J48-1),"NM"))</f>
        <v>3.4041766028534148E-3</v>
      </c>
      <c r="L48" s="50"/>
      <c r="M48" s="52">
        <v>-18.314302480000002</v>
      </c>
      <c r="N48" s="53">
        <f t="shared" ref="N48:N53" si="4">IF(ISERROR($I48*M48),"NM",IF($I48*M48&gt;0,IF(I48/M48&gt;2,"NM",I48/M48-1),"NM"))</f>
        <v>3.4041766028534148E-3</v>
      </c>
      <c r="O48" s="325"/>
      <c r="P48" s="52">
        <v>-18.357533929999999</v>
      </c>
      <c r="Q48" s="53">
        <f t="shared" si="1"/>
        <v>1.0411894142690059E-3</v>
      </c>
      <c r="R48" s="50"/>
      <c r="S48" s="52">
        <v>-18.314302480000002</v>
      </c>
      <c r="T48" s="52">
        <v>-87.332927460000008</v>
      </c>
      <c r="U48" s="52">
        <v>-22.331261849999997</v>
      </c>
      <c r="V48" s="52">
        <v>-65.001665610000003</v>
      </c>
      <c r="W48" s="52">
        <v>-22.314612619999998</v>
      </c>
      <c r="X48" s="52">
        <v>-42.687052989999998</v>
      </c>
      <c r="Y48" s="52">
        <v>-22.290030289999997</v>
      </c>
      <c r="Z48" s="52">
        <v>-20.397022700000001</v>
      </c>
      <c r="AA48" s="192"/>
      <c r="AB48" s="52">
        <v>-73.36309593</v>
      </c>
      <c r="AC48" s="52">
        <v>-18.357533929999999</v>
      </c>
      <c r="AD48" s="52">
        <v>-55.005561999999998</v>
      </c>
      <c r="AE48" s="52">
        <v>-18.349339000000001</v>
      </c>
      <c r="AF48" s="52">
        <v>-36.656222999999997</v>
      </c>
      <c r="AG48" s="52">
        <v>-18.341920519999999</v>
      </c>
      <c r="AH48" s="52">
        <v>-18.314302480000002</v>
      </c>
      <c r="AI48" s="191"/>
      <c r="AJ48" s="192"/>
    </row>
    <row r="49" spans="1:36" x14ac:dyDescent="0.2">
      <c r="A49" s="3" t="s">
        <v>54</v>
      </c>
      <c r="B49" s="49"/>
      <c r="C49" s="359" t="s">
        <v>247</v>
      </c>
      <c r="D49" s="245"/>
      <c r="E49" s="262">
        <v>-5.9</v>
      </c>
      <c r="F49" s="262">
        <v>-4.3</v>
      </c>
      <c r="G49" s="300">
        <f>IF(ISERROR($E49*F49),"NM",IF($E49*F49&gt;0,IF(E49/F49&gt;2,"NM",E49/F49-1),"NM"))</f>
        <v>0.37209302325581417</v>
      </c>
      <c r="H49" s="50"/>
      <c r="I49" s="52">
        <v>-1.55</v>
      </c>
      <c r="J49" s="52">
        <v>-1.47500023</v>
      </c>
      <c r="K49" s="53">
        <f>IF(ISERROR($I49*J49),"NM",IF($I49*J49&gt;0,IF(I49/J49&gt;2,"NM",I49/J49-1),"NM"))</f>
        <v>5.0847293766184798E-2</v>
      </c>
      <c r="L49" s="50"/>
      <c r="M49" s="52">
        <v>-1.47500023</v>
      </c>
      <c r="N49" s="53">
        <f t="shared" si="4"/>
        <v>5.0847293766184798E-2</v>
      </c>
      <c r="O49" s="325"/>
      <c r="P49" s="52">
        <v>-1.4749999999999999</v>
      </c>
      <c r="Q49" s="53">
        <f t="shared" si="1"/>
        <v>5.0847457627118731E-2</v>
      </c>
      <c r="R49" s="50"/>
      <c r="S49" s="52">
        <v>-1.47500023</v>
      </c>
      <c r="T49" s="52">
        <v>-4.3</v>
      </c>
      <c r="U49" s="52">
        <v>-1.4333333333333331</v>
      </c>
      <c r="V49" s="52">
        <v>-2.8666666666666667</v>
      </c>
      <c r="W49" s="52">
        <v>-1.4336666666666666</v>
      </c>
      <c r="X49" s="52">
        <v>-1.4330000000000001</v>
      </c>
      <c r="Y49" s="52">
        <v>-1.4330000000000001</v>
      </c>
      <c r="Z49" s="52">
        <v>0</v>
      </c>
      <c r="AA49" s="192"/>
      <c r="AB49" s="52">
        <v>-5.9</v>
      </c>
      <c r="AC49" s="52">
        <v>-1.4749999999999999</v>
      </c>
      <c r="AD49" s="52">
        <v>-4.4249999999999998</v>
      </c>
      <c r="AE49" s="52">
        <v>-1.4749999999999999</v>
      </c>
      <c r="AF49" s="52">
        <v>-2.95</v>
      </c>
      <c r="AG49" s="52">
        <v>-1.4749997699999999</v>
      </c>
      <c r="AH49" s="52">
        <v>-1.47500023</v>
      </c>
      <c r="AI49" s="191"/>
      <c r="AJ49" s="192"/>
    </row>
    <row r="50" spans="1:36" x14ac:dyDescent="0.2">
      <c r="A50" s="3" t="s">
        <v>236</v>
      </c>
      <c r="B50" s="49"/>
      <c r="C50" s="359" t="s">
        <v>248</v>
      </c>
      <c r="D50" s="245"/>
      <c r="E50" s="262">
        <v>22.413224560000003</v>
      </c>
      <c r="F50" s="262">
        <v>25.125968379880003</v>
      </c>
      <c r="G50" s="300">
        <f>IF(ISERROR($E50*F50),"NM",IF($E50*F50&gt;0,IF(E50/F50&gt;2,"NM",E50/F50-1),"NM"))</f>
        <v>-0.10796574201105302</v>
      </c>
      <c r="H50" s="50"/>
      <c r="I50" s="52">
        <v>5.6366067699999993</v>
      </c>
      <c r="J50" s="52">
        <v>6.1877170600000007</v>
      </c>
      <c r="K50" s="53">
        <f>IF(ISERROR($I50*J50),"NM",IF($I50*J50&gt;0,IF(I50/J50&gt;2,"NM",I50/J50-1),"NM"))</f>
        <v>-8.9065205253583635E-2</v>
      </c>
      <c r="L50" s="50"/>
      <c r="M50" s="52">
        <v>6.1877170600000007</v>
      </c>
      <c r="N50" s="53">
        <f t="shared" si="4"/>
        <v>-8.9065205253583635E-2</v>
      </c>
      <c r="O50" s="325"/>
      <c r="P50" s="52">
        <v>5.6068006499999985</v>
      </c>
      <c r="Q50" s="53">
        <f t="shared" si="1"/>
        <v>5.3160655890271968E-3</v>
      </c>
      <c r="R50" s="50"/>
      <c r="S50" s="52">
        <v>6.1877170600000007</v>
      </c>
      <c r="T50" s="52">
        <v>25.125968379880003</v>
      </c>
      <c r="U50" s="52">
        <v>6.4540651749700002</v>
      </c>
      <c r="V50" s="52">
        <v>18.671903204910002</v>
      </c>
      <c r="W50" s="52">
        <v>6.3939799749699997</v>
      </c>
      <c r="X50" s="52">
        <v>12.277923229940001</v>
      </c>
      <c r="Y50" s="52">
        <v>6.5753514449699999</v>
      </c>
      <c r="Z50" s="52">
        <v>5.7025717849699999</v>
      </c>
      <c r="AA50" s="192"/>
      <c r="AB50" s="52">
        <v>22.413224560000003</v>
      </c>
      <c r="AC50" s="52">
        <v>5.6068006499999985</v>
      </c>
      <c r="AD50" s="52">
        <v>16.806423910000003</v>
      </c>
      <c r="AE50" s="52">
        <v>5.6047576300000017</v>
      </c>
      <c r="AF50" s="52">
        <v>11.201666280000001</v>
      </c>
      <c r="AG50" s="52">
        <v>5.0139492199999998</v>
      </c>
      <c r="AH50" s="52">
        <v>6.1877170600000007</v>
      </c>
      <c r="AI50" s="191"/>
      <c r="AJ50" s="192"/>
    </row>
    <row r="51" spans="1:36" x14ac:dyDescent="0.2">
      <c r="A51" s="3" t="s">
        <v>237</v>
      </c>
      <c r="C51" s="359" t="s">
        <v>249</v>
      </c>
      <c r="D51" s="245"/>
      <c r="E51" s="262">
        <v>3.8888553300000002</v>
      </c>
      <c r="F51" s="262">
        <v>0</v>
      </c>
      <c r="G51" s="300" t="str">
        <f>IF(ISERROR($E51*F51),"NM",IF($E51*F51&gt;0,IF(E51/F51&gt;2,"NM",E51/F51-1),"NM"))</f>
        <v>NM</v>
      </c>
      <c r="H51" s="50"/>
      <c r="I51" s="52">
        <v>-68.286999999999992</v>
      </c>
      <c r="J51" s="52">
        <v>0</v>
      </c>
      <c r="K51" s="53" t="str">
        <f>IF(ISERROR($I51*J51),"NM",IF($I51*J51&gt;0,IF(I51/J51&gt;2,"NM",I51/J51-1),"NM"))</f>
        <v>NM</v>
      </c>
      <c r="L51" s="50"/>
      <c r="M51" s="52">
        <v>0</v>
      </c>
      <c r="N51" s="53" t="str">
        <f t="shared" si="4"/>
        <v>NM</v>
      </c>
      <c r="O51" s="325"/>
      <c r="P51" s="52">
        <v>3.8888553300000002</v>
      </c>
      <c r="Q51" s="53" t="str">
        <f t="shared" si="1"/>
        <v>NM</v>
      </c>
      <c r="R51" s="50"/>
      <c r="S51" s="52">
        <v>0</v>
      </c>
      <c r="T51" s="52">
        <v>0</v>
      </c>
      <c r="U51" s="52">
        <v>0</v>
      </c>
      <c r="V51" s="52">
        <v>0</v>
      </c>
      <c r="W51" s="52">
        <v>0</v>
      </c>
      <c r="X51" s="52">
        <v>0</v>
      </c>
      <c r="Y51" s="52">
        <v>0</v>
      </c>
      <c r="Z51" s="52">
        <v>0</v>
      </c>
      <c r="AA51" s="192"/>
      <c r="AB51" s="52">
        <v>3.8888553300000002</v>
      </c>
      <c r="AC51" s="52">
        <v>3.8888553300000002</v>
      </c>
      <c r="AD51" s="52">
        <v>0</v>
      </c>
      <c r="AE51" s="52">
        <v>0</v>
      </c>
      <c r="AF51" s="52">
        <v>0</v>
      </c>
      <c r="AG51" s="52">
        <v>0</v>
      </c>
      <c r="AH51" s="52">
        <v>0</v>
      </c>
      <c r="AI51" s="191"/>
      <c r="AJ51" s="192"/>
    </row>
    <row r="52" spans="1:36" ht="12" x14ac:dyDescent="0.25">
      <c r="A52" s="30" t="s">
        <v>238</v>
      </c>
      <c r="B52" s="49"/>
      <c r="C52" s="370" t="s">
        <v>250</v>
      </c>
      <c r="D52" s="192"/>
      <c r="E52" s="330">
        <v>-52.961016040000004</v>
      </c>
      <c r="F52" s="330">
        <v>-66.506959080119998</v>
      </c>
      <c r="G52" s="321">
        <f>IF(ISERROR($E52*F52),"NM",IF($E52*F52&gt;0,IF(E52/F52&gt;2,"NM",E52/F52-1),"NM"))</f>
        <v>-0.20367707721836126</v>
      </c>
      <c r="H52" s="27"/>
      <c r="I52" s="877">
        <v>-82.577040829999987</v>
      </c>
      <c r="J52" s="877">
        <v>-15.389585650000001</v>
      </c>
      <c r="K52" s="867" t="str">
        <f>IF(ISERROR($I52*J52),"NM",IF($I52*J52&gt;0,IF(I52/J52&gt;2,"NM",I52/J52-1),"NM"))</f>
        <v>NM</v>
      </c>
      <c r="L52" s="878"/>
      <c r="M52" s="877">
        <v>-14.191268050000001</v>
      </c>
      <c r="N52" s="867" t="str">
        <f t="shared" si="4"/>
        <v>NM</v>
      </c>
      <c r="O52" s="329"/>
      <c r="P52" s="877">
        <v>-10.33687795</v>
      </c>
      <c r="Q52" s="867" t="str">
        <f t="shared" si="1"/>
        <v>NM</v>
      </c>
      <c r="R52" s="27"/>
      <c r="S52" s="877">
        <v>-14.191268050000001</v>
      </c>
      <c r="T52" s="877">
        <v>-66.506959080119998</v>
      </c>
      <c r="U52" s="877">
        <v>-17.31053000836333</v>
      </c>
      <c r="V52" s="877">
        <v>-49.196429071756661</v>
      </c>
      <c r="W52" s="877">
        <v>-17.354299311696664</v>
      </c>
      <c r="X52" s="877">
        <v>-31.842129760059997</v>
      </c>
      <c r="Y52" s="877">
        <v>-17.147678845029997</v>
      </c>
      <c r="Z52" s="877">
        <v>-14.69445091503</v>
      </c>
      <c r="AA52" s="192"/>
      <c r="AB52" s="877">
        <v>-52.961016040000004</v>
      </c>
      <c r="AC52" s="877">
        <v>-10.33687795</v>
      </c>
      <c r="AD52" s="877">
        <v>-42.624138090000002</v>
      </c>
      <c r="AE52" s="877">
        <v>-14.21958137</v>
      </c>
      <c r="AF52" s="877">
        <v>-28.404556720000002</v>
      </c>
      <c r="AG52" s="877">
        <v>-13.014971070000001</v>
      </c>
      <c r="AH52" s="877">
        <v>-15.389585650000001</v>
      </c>
      <c r="AI52" s="191"/>
      <c r="AJ52" s="192"/>
    </row>
    <row r="53" spans="1:36" x14ac:dyDescent="0.2">
      <c r="A53" s="137" t="s">
        <v>55</v>
      </c>
      <c r="B53" s="49"/>
      <c r="C53" s="359" t="s">
        <v>269</v>
      </c>
      <c r="D53" s="245"/>
      <c r="E53" s="262">
        <v>-107.67852254000002</v>
      </c>
      <c r="F53" s="262">
        <v>-2.3064670766666229</v>
      </c>
      <c r="G53" s="300" t="str">
        <f t="shared" si="2"/>
        <v>NM</v>
      </c>
      <c r="H53" s="50"/>
      <c r="I53" s="52">
        <v>-1.099120794378905E-14</v>
      </c>
      <c r="J53" s="52">
        <v>-8.7462640300000203</v>
      </c>
      <c r="K53" s="53">
        <f t="shared" si="3"/>
        <v>-0.99999999999999878</v>
      </c>
      <c r="L53" s="50"/>
      <c r="M53" s="52">
        <v>-3.3586457000000203</v>
      </c>
      <c r="N53" s="53">
        <f t="shared" si="4"/>
        <v>-0.99999999999999678</v>
      </c>
      <c r="O53" s="325"/>
      <c r="P53" s="52">
        <v>-20.221071649999924</v>
      </c>
      <c r="Q53" s="53">
        <f t="shared" si="1"/>
        <v>-0.99999999999999944</v>
      </c>
      <c r="R53" s="50"/>
      <c r="S53" s="52">
        <v>-3.3586457000000203</v>
      </c>
      <c r="T53" s="52">
        <v>-2.3064670766666229</v>
      </c>
      <c r="U53" s="52">
        <v>-2.3064670766666229</v>
      </c>
      <c r="V53" s="52">
        <v>0</v>
      </c>
      <c r="W53" s="52">
        <v>0</v>
      </c>
      <c r="X53" s="52">
        <v>0</v>
      </c>
      <c r="Y53" s="52">
        <v>0</v>
      </c>
      <c r="Z53" s="52">
        <v>0</v>
      </c>
      <c r="AA53" s="192"/>
      <c r="AB53" s="52">
        <v>-107.67852254000002</v>
      </c>
      <c r="AC53" s="52">
        <v>-20.221071649999924</v>
      </c>
      <c r="AD53" s="52">
        <v>-87.457450890000089</v>
      </c>
      <c r="AE53" s="52">
        <v>-80.499186860000052</v>
      </c>
      <c r="AF53" s="52">
        <v>-6.958264030000036</v>
      </c>
      <c r="AG53" s="52">
        <v>1.7879999999999843</v>
      </c>
      <c r="AH53" s="52">
        <v>-8.7462640300000203</v>
      </c>
      <c r="AI53" s="191"/>
      <c r="AJ53" s="192"/>
    </row>
    <row r="54" spans="1:36" x14ac:dyDescent="0.2">
      <c r="A54" s="3" t="s">
        <v>186</v>
      </c>
      <c r="B54" s="49"/>
      <c r="C54" s="359" t="s">
        <v>251</v>
      </c>
      <c r="D54" s="245"/>
      <c r="E54" s="262">
        <v>-7.1529999999999996</v>
      </c>
      <c r="F54" s="262">
        <v>-1.1922333333333333</v>
      </c>
      <c r="G54" s="300" t="str">
        <f t="shared" ref="G54:G59" si="5">IF(ISERROR($E54*F54),"NM",IF($E54*F54&gt;0,IF(E54/F54&gt;2,"NM",E54/F54-1),"NM"))</f>
        <v>NM</v>
      </c>
      <c r="H54" s="50"/>
      <c r="I54" s="52">
        <v>-1.7879999999999998</v>
      </c>
      <c r="J54" s="52">
        <v>0</v>
      </c>
      <c r="K54" s="53" t="str">
        <f t="shared" ref="K54:K59" si="6">IF(ISERROR($I54*J54),"NM",IF($I54*J54&gt;0,IF(I54/J54&gt;2,"NM",I54/J54-1),"NM"))</f>
        <v>NM</v>
      </c>
      <c r="L54" s="50"/>
      <c r="M54" s="52">
        <v>0</v>
      </c>
      <c r="N54" s="53" t="str">
        <f t="shared" ref="N54:N59" si="7">IF(ISERROR($I54*M54),"NM",IF($I54*M54&gt;0,IF(I54/M54&gt;2,"NM",I54/M54-1),"NM"))</f>
        <v>NM</v>
      </c>
      <c r="O54" s="325"/>
      <c r="P54" s="52">
        <v>-1.7879999999999998</v>
      </c>
      <c r="Q54" s="53">
        <f t="shared" si="1"/>
        <v>0</v>
      </c>
      <c r="R54" s="50"/>
      <c r="S54" s="52">
        <v>0</v>
      </c>
      <c r="T54" s="52">
        <v>-1.1922333333333333</v>
      </c>
      <c r="U54" s="52">
        <v>-1.1922333333333333</v>
      </c>
      <c r="V54" s="52">
        <v>0</v>
      </c>
      <c r="W54" s="52">
        <v>0</v>
      </c>
      <c r="X54" s="52">
        <v>0</v>
      </c>
      <c r="Y54" s="52">
        <v>0</v>
      </c>
      <c r="Z54" s="52">
        <v>0</v>
      </c>
      <c r="AA54" s="192"/>
      <c r="AB54" s="52">
        <v>-7.1529999999999996</v>
      </c>
      <c r="AC54" s="52">
        <v>-1.7879999999999998</v>
      </c>
      <c r="AD54" s="52">
        <v>-5.3650000000000002</v>
      </c>
      <c r="AE54" s="52">
        <v>-1.788</v>
      </c>
      <c r="AF54" s="52">
        <v>-3.577</v>
      </c>
      <c r="AG54" s="52">
        <v>-3.577</v>
      </c>
      <c r="AH54" s="52">
        <v>0</v>
      </c>
      <c r="AI54" s="191"/>
      <c r="AJ54" s="192"/>
    </row>
    <row r="55" spans="1:36" x14ac:dyDescent="0.2">
      <c r="A55" s="3" t="s">
        <v>239</v>
      </c>
      <c r="C55" s="359" t="s">
        <v>261</v>
      </c>
      <c r="D55" s="245"/>
      <c r="E55" s="262">
        <v>33.112968280000004</v>
      </c>
      <c r="F55" s="262">
        <v>0.96426062151598879</v>
      </c>
      <c r="G55" s="300" t="str">
        <f t="shared" si="5"/>
        <v>NM</v>
      </c>
      <c r="H55" s="50"/>
      <c r="I55" s="52">
        <v>0.59000039999999998</v>
      </c>
      <c r="J55" s="52">
        <v>1.8605026999999998</v>
      </c>
      <c r="K55" s="53">
        <f t="shared" si="6"/>
        <v>-0.68288119119633639</v>
      </c>
      <c r="L55" s="50"/>
      <c r="M55" s="52">
        <v>0.58715669999999998</v>
      </c>
      <c r="N55" s="53">
        <f t="shared" si="7"/>
        <v>4.8431704858344915E-3</v>
      </c>
      <c r="O55" s="325"/>
      <c r="P55" s="52">
        <v>9.1171711200000018</v>
      </c>
      <c r="Q55" s="53">
        <f t="shared" si="1"/>
        <v>-0.93528690070259424</v>
      </c>
      <c r="R55" s="50"/>
      <c r="S55" s="52">
        <v>0.58715669999999998</v>
      </c>
      <c r="T55" s="52">
        <v>0.96426062151598879</v>
      </c>
      <c r="U55" s="52">
        <v>0.96426062151598879</v>
      </c>
      <c r="V55" s="52">
        <v>0</v>
      </c>
      <c r="W55" s="52">
        <v>0</v>
      </c>
      <c r="X55" s="52">
        <v>0</v>
      </c>
      <c r="Y55" s="52">
        <v>0</v>
      </c>
      <c r="Z55" s="52">
        <v>0</v>
      </c>
      <c r="AA55" s="192"/>
      <c r="AB55" s="52">
        <v>33.112968280000004</v>
      </c>
      <c r="AC55" s="52">
        <v>9.1171711200000018</v>
      </c>
      <c r="AD55" s="52">
        <v>23.995797160000002</v>
      </c>
      <c r="AE55" s="52">
        <v>20.955294660000003</v>
      </c>
      <c r="AF55" s="52">
        <v>3.0405024999999997</v>
      </c>
      <c r="AG55" s="52">
        <v>1.1799998</v>
      </c>
      <c r="AH55" s="52">
        <v>1.8605026999999998</v>
      </c>
      <c r="AI55" s="191"/>
      <c r="AJ55" s="192"/>
    </row>
    <row r="56" spans="1:36" ht="12" x14ac:dyDescent="0.25">
      <c r="A56" s="30" t="s">
        <v>240</v>
      </c>
      <c r="C56" s="370" t="s">
        <v>252</v>
      </c>
      <c r="D56" s="192"/>
      <c r="E56" s="330">
        <v>-81.718554259999991</v>
      </c>
      <c r="F56" s="330">
        <v>-2.5344397884839687</v>
      </c>
      <c r="G56" s="321" t="str">
        <f t="shared" si="5"/>
        <v>NM</v>
      </c>
      <c r="H56" s="27"/>
      <c r="I56" s="877">
        <v>-1.1979995999999999</v>
      </c>
      <c r="J56" s="877">
        <v>-5.0977613300000009</v>
      </c>
      <c r="K56" s="867">
        <f t="shared" si="6"/>
        <v>-0.76499496103321896</v>
      </c>
      <c r="L56" s="878"/>
      <c r="M56" s="877">
        <v>-2.20148908</v>
      </c>
      <c r="N56" s="867">
        <f t="shared" si="7"/>
        <v>-0.45582305591086558</v>
      </c>
      <c r="O56" s="329"/>
      <c r="P56" s="877">
        <v>-12.891900530000001</v>
      </c>
      <c r="Q56" s="867">
        <f t="shared" si="1"/>
        <v>-0.90707346855398052</v>
      </c>
      <c r="R56" s="27"/>
      <c r="S56" s="877">
        <v>-2.20148908</v>
      </c>
      <c r="T56" s="877">
        <v>-2.5344397884839687</v>
      </c>
      <c r="U56" s="877">
        <v>-2.5344397884839687</v>
      </c>
      <c r="V56" s="877">
        <v>0</v>
      </c>
      <c r="W56" s="877">
        <v>0</v>
      </c>
      <c r="X56" s="877">
        <v>0</v>
      </c>
      <c r="Y56" s="877">
        <v>0</v>
      </c>
      <c r="Z56" s="877">
        <v>0</v>
      </c>
      <c r="AA56" s="192"/>
      <c r="AB56" s="877">
        <v>-81.718554259999991</v>
      </c>
      <c r="AC56" s="877">
        <v>-12.891900530000001</v>
      </c>
      <c r="AD56" s="877">
        <v>-68.82665372999999</v>
      </c>
      <c r="AE56" s="877">
        <v>-61.331892199999992</v>
      </c>
      <c r="AF56" s="877">
        <v>-7.4947615300000008</v>
      </c>
      <c r="AG56" s="877">
        <v>-2.3970001999999999</v>
      </c>
      <c r="AH56" s="877">
        <v>-5.0977613300000009</v>
      </c>
      <c r="AI56" s="191"/>
      <c r="AJ56" s="192"/>
    </row>
    <row r="57" spans="1:36" ht="12" hidden="1" outlineLevel="1" x14ac:dyDescent="0.2">
      <c r="A57" s="3" t="s">
        <v>453</v>
      </c>
      <c r="B57" s="49"/>
      <c r="C57" s="54" t="s">
        <v>458</v>
      </c>
      <c r="D57" s="192"/>
      <c r="E57" s="330"/>
      <c r="F57" s="330"/>
      <c r="G57" s="321"/>
      <c r="H57" s="27"/>
      <c r="I57" s="52">
        <v>-6.5112491900000009</v>
      </c>
      <c r="J57" s="52">
        <v>0</v>
      </c>
      <c r="K57" s="53" t="str">
        <f t="shared" si="6"/>
        <v>NM</v>
      </c>
      <c r="L57" s="50"/>
      <c r="M57" s="52">
        <v>-4.0945898499999984</v>
      </c>
      <c r="N57" s="53">
        <f t="shared" si="7"/>
        <v>0.59020791545214313</v>
      </c>
      <c r="O57" s="325"/>
      <c r="P57" s="52">
        <v>-6.7217267400000011</v>
      </c>
      <c r="Q57" s="53">
        <f>IF(ISERROR($I57*P57),"NM",IF($I57*P57&gt;0,IF($I57/P57&gt;2,"NM",$I57/P57-1),"NM"))</f>
        <v>-3.1313017940387211E-2</v>
      </c>
      <c r="R57" s="50"/>
      <c r="S57" s="52">
        <v>-4.0945898499999984</v>
      </c>
      <c r="T57" s="52">
        <v>-8.0823851944128506</v>
      </c>
      <c r="U57" s="52">
        <v>-8.0823851944128506</v>
      </c>
      <c r="V57" s="52">
        <v>0</v>
      </c>
      <c r="W57" s="52">
        <v>0</v>
      </c>
      <c r="X57" s="52">
        <v>0</v>
      </c>
      <c r="Y57" s="52">
        <v>0</v>
      </c>
      <c r="Z57" s="52">
        <v>0</v>
      </c>
      <c r="AA57" s="192"/>
      <c r="AB57" s="52">
        <v>-28.843779929999997</v>
      </c>
      <c r="AC57" s="52">
        <v>-6.7217267400000011</v>
      </c>
      <c r="AD57" s="52">
        <v>-22.122053190000003</v>
      </c>
      <c r="AE57" s="52">
        <v>-15.47952712</v>
      </c>
      <c r="AF57" s="52">
        <v>-6.6425260700000024</v>
      </c>
      <c r="AG57" s="52">
        <v>-6.6425260700000024</v>
      </c>
      <c r="AH57" s="52">
        <v>0</v>
      </c>
      <c r="AI57" s="191"/>
      <c r="AJ57" s="192"/>
    </row>
    <row r="58" spans="1:36" ht="12" hidden="1" outlineLevel="1" x14ac:dyDescent="0.2">
      <c r="A58" s="3" t="s">
        <v>454</v>
      </c>
      <c r="B58" s="49"/>
      <c r="C58" s="54" t="s">
        <v>459</v>
      </c>
      <c r="D58" s="192"/>
      <c r="E58" s="330"/>
      <c r="F58" s="330"/>
      <c r="G58" s="321"/>
      <c r="H58" s="27"/>
      <c r="I58" s="52">
        <v>84.727864449999998</v>
      </c>
      <c r="J58" s="52">
        <v>0</v>
      </c>
      <c r="K58" s="53" t="str">
        <f>IF(ISERROR($I58*J58),"NM",IF($I58*J58&gt;0,IF(I58/J58&gt;2,"NM",I58/J58-1),"NM"))</f>
        <v>NM</v>
      </c>
      <c r="L58" s="50"/>
      <c r="M58" s="52">
        <v>0</v>
      </c>
      <c r="N58" s="53" t="str">
        <f>IF(ISERROR($I58*M58),"NM",IF($I58*M58&gt;0,IF(I58/M58&gt;2,"NM",I58/M58-1),"NM"))</f>
        <v>NM</v>
      </c>
      <c r="O58" s="325"/>
      <c r="P58" s="52">
        <v>0</v>
      </c>
      <c r="Q58" s="53" t="str">
        <f>IF(ISERROR($I58*P58),"NM",IF($I58*P58&gt;0,IF($I58/P58&gt;2,"NM",$I58/P58-1),"NM"))</f>
        <v>NM</v>
      </c>
      <c r="R58" s="50"/>
      <c r="S58" s="52">
        <v>0</v>
      </c>
      <c r="T58" s="52">
        <v>0</v>
      </c>
      <c r="U58" s="52">
        <v>0</v>
      </c>
      <c r="V58" s="52">
        <v>0</v>
      </c>
      <c r="W58" s="52">
        <v>0</v>
      </c>
      <c r="X58" s="52">
        <v>0</v>
      </c>
      <c r="Y58" s="52">
        <v>0</v>
      </c>
      <c r="Z58" s="52">
        <v>0</v>
      </c>
      <c r="AA58" s="192"/>
      <c r="AB58" s="52">
        <v>0</v>
      </c>
      <c r="AC58" s="52">
        <v>0</v>
      </c>
      <c r="AD58" s="52">
        <v>0</v>
      </c>
      <c r="AE58" s="52">
        <v>0</v>
      </c>
      <c r="AF58" s="52">
        <v>0</v>
      </c>
      <c r="AG58" s="52">
        <v>0</v>
      </c>
      <c r="AH58" s="52">
        <v>0</v>
      </c>
      <c r="AI58" s="191"/>
      <c r="AJ58" s="192"/>
    </row>
    <row r="59" spans="1:36" ht="12" collapsed="1" x14ac:dyDescent="0.25">
      <c r="A59" s="30" t="s">
        <v>457</v>
      </c>
      <c r="C59" s="370" t="s">
        <v>456</v>
      </c>
      <c r="D59" s="192"/>
      <c r="E59" s="330">
        <v>-28.843779929999997</v>
      </c>
      <c r="F59" s="330">
        <v>-8.0823851944128506</v>
      </c>
      <c r="G59" s="321" t="str">
        <f t="shared" si="5"/>
        <v>NM</v>
      </c>
      <c r="H59" s="27"/>
      <c r="I59" s="877">
        <v>78.216615259999998</v>
      </c>
      <c r="J59" s="877">
        <v>0</v>
      </c>
      <c r="K59" s="867" t="str">
        <f t="shared" si="6"/>
        <v>NM</v>
      </c>
      <c r="L59" s="878"/>
      <c r="M59" s="877">
        <v>-4.0945898499999984</v>
      </c>
      <c r="N59" s="867" t="str">
        <f t="shared" si="7"/>
        <v>NM</v>
      </c>
      <c r="O59" s="329"/>
      <c r="P59" s="877">
        <v>-6.7217267400000011</v>
      </c>
      <c r="Q59" s="867" t="str">
        <f t="shared" si="1"/>
        <v>NM</v>
      </c>
      <c r="R59" s="27"/>
      <c r="S59" s="877">
        <v>-4.0945898499999984</v>
      </c>
      <c r="T59" s="877">
        <v>-8.0823851944128506</v>
      </c>
      <c r="U59" s="877">
        <v>-8.0823851944128506</v>
      </c>
      <c r="V59" s="877">
        <v>0</v>
      </c>
      <c r="W59" s="877">
        <v>0</v>
      </c>
      <c r="X59" s="877">
        <v>0</v>
      </c>
      <c r="Y59" s="877">
        <v>0</v>
      </c>
      <c r="Z59" s="877">
        <v>0</v>
      </c>
      <c r="AA59" s="192"/>
      <c r="AB59" s="877">
        <v>-28.843779929999997</v>
      </c>
      <c r="AC59" s="877">
        <v>-6.7217267400000011</v>
      </c>
      <c r="AD59" s="877">
        <v>-22.122053190000003</v>
      </c>
      <c r="AE59" s="877">
        <v>-15.47952712</v>
      </c>
      <c r="AF59" s="877">
        <v>-6.6425260700000024</v>
      </c>
      <c r="AG59" s="877">
        <v>-6.6425260700000024</v>
      </c>
      <c r="AH59" s="877">
        <v>0</v>
      </c>
      <c r="AI59" s="191"/>
      <c r="AJ59" s="192"/>
    </row>
    <row r="60" spans="1:36" hidden="1" outlineLevel="1" x14ac:dyDescent="0.2">
      <c r="A60" s="3" t="s">
        <v>241</v>
      </c>
      <c r="C60" s="359" t="s">
        <v>253</v>
      </c>
      <c r="D60" s="245"/>
      <c r="E60" s="262">
        <v>402.05947761999994</v>
      </c>
      <c r="F60" s="262"/>
      <c r="G60" s="300" t="str">
        <f>IF(ISERROR($E60*F60),"NM",IF($E60*F60&gt;0,IF(E60/F60&gt;2,"NM",E60/F60-1),"NM"))</f>
        <v>NM</v>
      </c>
      <c r="H60" s="50"/>
      <c r="I60" s="52">
        <v>0</v>
      </c>
      <c r="J60" s="52">
        <v>0</v>
      </c>
      <c r="K60" s="53" t="str">
        <f>IF(ISERROR($I60*J60),"NM",IF($I60*J60&gt;0,IF(I60/J60&gt;2,"NM",I60/J60-1),"NM"))</f>
        <v>NM</v>
      </c>
      <c r="L60" s="50"/>
      <c r="M60" s="52"/>
      <c r="N60" s="53" t="str">
        <f>IF(ISERROR($I60*M60),"NM",IF($I60*M60&gt;0,IF(I60/M60&gt;2,"NM",I60/M60-1),"NM"))</f>
        <v>NM</v>
      </c>
      <c r="O60" s="325"/>
      <c r="P60" s="52">
        <v>2.04E-4</v>
      </c>
      <c r="Q60" s="53" t="str">
        <f t="shared" si="1"/>
        <v>NM</v>
      </c>
      <c r="R60" s="50"/>
      <c r="S60" s="52"/>
      <c r="T60" s="52"/>
      <c r="U60" s="52">
        <v>0</v>
      </c>
      <c r="V60" s="52"/>
      <c r="W60" s="52">
        <v>0</v>
      </c>
      <c r="X60" s="52">
        <v>0</v>
      </c>
      <c r="Y60" s="52">
        <v>0</v>
      </c>
      <c r="Z60" s="52"/>
      <c r="AA60" s="192"/>
      <c r="AB60" s="52">
        <v>402.05947761999994</v>
      </c>
      <c r="AC60" s="52"/>
      <c r="AD60" s="52">
        <v>402.05927361999994</v>
      </c>
      <c r="AE60" s="52"/>
      <c r="AF60" s="52">
        <v>402.38299961999996</v>
      </c>
      <c r="AG60" s="52">
        <v>402.38299961999996</v>
      </c>
      <c r="AH60" s="52"/>
      <c r="AI60" s="191"/>
      <c r="AJ60" s="192"/>
    </row>
    <row r="61" spans="1:36" hidden="1" outlineLevel="1" x14ac:dyDescent="0.2">
      <c r="A61" s="137" t="s">
        <v>242</v>
      </c>
      <c r="B61" s="49"/>
      <c r="C61" s="359" t="s">
        <v>254</v>
      </c>
      <c r="D61" s="245"/>
      <c r="E61" s="262">
        <v>0</v>
      </c>
      <c r="F61" s="262"/>
      <c r="G61" s="300" t="str">
        <f>IF(ISERROR($E61*F61),"NM",IF($E61*F61&gt;0,IF(E61/F61&gt;2,"NM",E61/F61-1),"NM"))</f>
        <v>NM</v>
      </c>
      <c r="H61" s="50"/>
      <c r="I61" s="52">
        <v>0</v>
      </c>
      <c r="J61" s="52">
        <v>0</v>
      </c>
      <c r="K61" s="53" t="str">
        <f>IF(ISERROR($I61*J61),"NM",IF($I61*J61&gt;0,IF(I61/J61&gt;2,"NM",I61/J61-1),"NM"))</f>
        <v>NM</v>
      </c>
      <c r="L61" s="50"/>
      <c r="M61" s="52"/>
      <c r="N61" s="53" t="str">
        <f>IF(ISERROR($I61*M61),"NM",IF($I61*M61&gt;0,IF(I61/M61&gt;2,"NM",I61/M61-1),"NM"))</f>
        <v>NM</v>
      </c>
      <c r="O61" s="325"/>
      <c r="P61" s="52">
        <v>0</v>
      </c>
      <c r="Q61" s="53" t="str">
        <f t="shared" si="1"/>
        <v>NM</v>
      </c>
      <c r="R61" s="50"/>
      <c r="S61" s="52"/>
      <c r="T61" s="52"/>
      <c r="U61" s="52">
        <v>0</v>
      </c>
      <c r="V61" s="52"/>
      <c r="W61" s="52">
        <v>0</v>
      </c>
      <c r="X61" s="52">
        <v>0</v>
      </c>
      <c r="Y61" s="52">
        <v>0</v>
      </c>
      <c r="Z61" s="52"/>
      <c r="AA61" s="192"/>
      <c r="AB61" s="52">
        <v>0</v>
      </c>
      <c r="AC61" s="52"/>
      <c r="AD61" s="52">
        <v>0</v>
      </c>
      <c r="AE61" s="52"/>
      <c r="AF61" s="52">
        <v>0</v>
      </c>
      <c r="AG61" s="52">
        <v>0</v>
      </c>
      <c r="AH61" s="52"/>
      <c r="AI61" s="191"/>
      <c r="AJ61" s="192"/>
    </row>
    <row r="62" spans="1:36" ht="12" collapsed="1" x14ac:dyDescent="0.25">
      <c r="A62" s="37" t="s">
        <v>203</v>
      </c>
      <c r="B62" s="49"/>
      <c r="C62" s="370" t="s">
        <v>255</v>
      </c>
      <c r="D62" s="192"/>
      <c r="E62" s="330">
        <v>402.05947761999994</v>
      </c>
      <c r="F62" s="330">
        <v>0</v>
      </c>
      <c r="G62" s="321" t="str">
        <f>IF(ISERROR($E62*F62),"NM",IF($E62*F62&gt;0,IF(E62/F62&gt;2,"NM",E62/F62-1),"NM"))</f>
        <v>NM</v>
      </c>
      <c r="H62" s="27"/>
      <c r="I62" s="877">
        <v>0</v>
      </c>
      <c r="J62" s="877">
        <v>0</v>
      </c>
      <c r="K62" s="867" t="str">
        <f>IF(ISERROR($I62*J62),"NM",IF($I62*J62&gt;0,IF(I62/J62&gt;2,"NM",I62/J62-1),"NM"))</f>
        <v>NM</v>
      </c>
      <c r="L62" s="878"/>
      <c r="M62" s="877">
        <v>0</v>
      </c>
      <c r="N62" s="867" t="str">
        <f>IF(ISERROR($I62*M62),"NM",IF($I62*M62&gt;0,IF(I62/M62&gt;2,"NM",I62/M62-1),"NM"))</f>
        <v>NM</v>
      </c>
      <c r="O62" s="329"/>
      <c r="P62" s="877">
        <v>2.04E-4</v>
      </c>
      <c r="Q62" s="867" t="str">
        <f t="shared" si="1"/>
        <v>NM</v>
      </c>
      <c r="R62" s="27"/>
      <c r="S62" s="877">
        <v>0</v>
      </c>
      <c r="T62" s="877">
        <v>0</v>
      </c>
      <c r="U62" s="877">
        <v>0</v>
      </c>
      <c r="V62" s="877">
        <v>0</v>
      </c>
      <c r="W62" s="877">
        <v>0</v>
      </c>
      <c r="X62" s="877">
        <v>0</v>
      </c>
      <c r="Y62" s="877">
        <v>0</v>
      </c>
      <c r="Z62" s="877">
        <v>0</v>
      </c>
      <c r="AA62" s="192"/>
      <c r="AB62" s="877">
        <v>402.05947761999994</v>
      </c>
      <c r="AC62" s="877">
        <v>2.04E-4</v>
      </c>
      <c r="AD62" s="877">
        <v>402.05927361999994</v>
      </c>
      <c r="AE62" s="877">
        <v>-0.32372600000000001</v>
      </c>
      <c r="AF62" s="877">
        <v>402.38299961999996</v>
      </c>
      <c r="AG62" s="877">
        <v>402.38299961999996</v>
      </c>
      <c r="AH62" s="877">
        <v>0</v>
      </c>
      <c r="AI62" s="191"/>
      <c r="AJ62" s="192"/>
    </row>
    <row r="63" spans="1:36" x14ac:dyDescent="0.2">
      <c r="A63" s="137"/>
      <c r="B63" s="49"/>
      <c r="C63" s="371"/>
      <c r="D63" s="245"/>
      <c r="E63" s="275"/>
      <c r="F63" s="262"/>
      <c r="G63" s="300"/>
      <c r="H63" s="50"/>
      <c r="I63" s="52"/>
      <c r="J63" s="52"/>
      <c r="K63" s="53"/>
      <c r="L63" s="50"/>
      <c r="M63" s="52"/>
      <c r="N63" s="53"/>
      <c r="O63" s="325"/>
      <c r="P63" s="52"/>
      <c r="Q63" s="53"/>
      <c r="R63" s="50"/>
      <c r="S63" s="52"/>
      <c r="T63" s="52"/>
      <c r="U63" s="52"/>
      <c r="V63" s="52"/>
      <c r="W63" s="52"/>
      <c r="X63" s="52"/>
      <c r="Y63" s="52"/>
      <c r="Z63" s="52"/>
      <c r="AA63" s="192"/>
      <c r="AB63" s="52"/>
      <c r="AC63" s="52"/>
      <c r="AD63" s="52"/>
      <c r="AE63" s="52"/>
      <c r="AF63" s="52"/>
      <c r="AG63" s="52"/>
      <c r="AH63" s="52"/>
      <c r="AI63" s="191"/>
      <c r="AJ63" s="192"/>
    </row>
    <row r="64" spans="1:36" ht="12" x14ac:dyDescent="0.2">
      <c r="A64" s="37" t="s">
        <v>243</v>
      </c>
      <c r="B64" s="49"/>
      <c r="C64" s="372" t="s">
        <v>256</v>
      </c>
      <c r="D64" s="192"/>
      <c r="E64" s="331">
        <v>-75.374240600000007</v>
      </c>
      <c r="F64" s="331">
        <v>-91.632927460000005</v>
      </c>
      <c r="G64" s="332">
        <f>IF(ISERROR($E64*F64),"NM",IF($E64*F64&gt;0,IF(E64/F64&gt;2,"NM",E64/F64-1),"NM"))</f>
        <v>-0.17743279965705894</v>
      </c>
      <c r="H64" s="27"/>
      <c r="I64" s="879">
        <v>-88.213647599999987</v>
      </c>
      <c r="J64" s="879">
        <v>-19.789302710000001</v>
      </c>
      <c r="K64" s="880" t="str">
        <f>IF(ISERROR($I64*J64),"NM",IF($I64*J64&gt;0,IF(I64/J64&gt;2,"NM",I64/J64-1),"NM"))</f>
        <v>NM</v>
      </c>
      <c r="L64" s="881"/>
      <c r="M64" s="879">
        <v>-19.789302710000001</v>
      </c>
      <c r="N64" s="880" t="str">
        <f>IF(ISERROR($I64*M64),"NM",IF($I64*M64&gt;0,IF(I64/M64&gt;2,"NM",I64/M64-1),"NM"))</f>
        <v>NM</v>
      </c>
      <c r="O64" s="329"/>
      <c r="P64" s="879">
        <v>-15.9436786</v>
      </c>
      <c r="Q64" s="880" t="str">
        <f t="shared" si="1"/>
        <v>NM</v>
      </c>
      <c r="R64" s="27"/>
      <c r="S64" s="879">
        <v>-19.789302710000001</v>
      </c>
      <c r="T64" s="879">
        <v>-91.632927460000005</v>
      </c>
      <c r="U64" s="879">
        <v>-23.764595183333331</v>
      </c>
      <c r="V64" s="879">
        <v>-67.868332276666663</v>
      </c>
      <c r="W64" s="879">
        <v>-23.748279286666666</v>
      </c>
      <c r="X64" s="879">
        <v>-44.120052989999998</v>
      </c>
      <c r="Y64" s="879">
        <v>-23.723030289999997</v>
      </c>
      <c r="Z64" s="879">
        <v>-20.397022700000001</v>
      </c>
      <c r="AA64" s="192"/>
      <c r="AB64" s="879">
        <v>-75.374240600000007</v>
      </c>
      <c r="AC64" s="879">
        <v>-15.9436786</v>
      </c>
      <c r="AD64" s="879">
        <v>-59.430561999999995</v>
      </c>
      <c r="AE64" s="879">
        <v>-19.824339000000002</v>
      </c>
      <c r="AF64" s="879">
        <v>-39.606223</v>
      </c>
      <c r="AG64" s="879">
        <v>-19.816920289999999</v>
      </c>
      <c r="AH64" s="879">
        <v>-19.789302710000001</v>
      </c>
      <c r="AI64" s="191"/>
      <c r="AJ64" s="192"/>
    </row>
    <row r="65" spans="1:36" ht="12" x14ac:dyDescent="0.2">
      <c r="A65" s="37" t="s">
        <v>244</v>
      </c>
      <c r="B65" s="49"/>
      <c r="C65" s="372" t="s">
        <v>257</v>
      </c>
      <c r="D65" s="192"/>
      <c r="E65" s="331">
        <v>-114.83152254000002</v>
      </c>
      <c r="F65" s="331">
        <v>-3.4987004099999561</v>
      </c>
      <c r="G65" s="332" t="str">
        <f>IF(ISERROR($E65*F65),"NM",IF($E65*F65&gt;0,IF(E65/F65&gt;2,"NM",E65/F65-1),"NM"))</f>
        <v>NM</v>
      </c>
      <c r="H65" s="27"/>
      <c r="I65" s="879">
        <v>-1.7880000000000109</v>
      </c>
      <c r="J65" s="879">
        <v>-8.7462640300000203</v>
      </c>
      <c r="K65" s="880">
        <f>IF(ISERROR($I65*J65),"NM",IF($I65*J65&gt;0,IF(I65/J65&gt;2,"NM",I65/J65-1),"NM"))</f>
        <v>-0.79556985772815658</v>
      </c>
      <c r="L65" s="881"/>
      <c r="M65" s="879">
        <v>-3.3586457000000203</v>
      </c>
      <c r="N65" s="880">
        <f>IF(ISERROR($I65*M65),"NM",IF($I65*M65&gt;0,IF(I65/M65&gt;2,"NM",I65/M65-1),"NM"))</f>
        <v>-0.46764256795529213</v>
      </c>
      <c r="O65" s="329"/>
      <c r="P65" s="879">
        <v>-22.009071649999925</v>
      </c>
      <c r="Q65" s="880">
        <f t="shared" si="1"/>
        <v>-0.91876077153849345</v>
      </c>
      <c r="R65" s="27"/>
      <c r="S65" s="879">
        <v>-3.3586457000000203</v>
      </c>
      <c r="T65" s="879">
        <v>-3.4987004099999561</v>
      </c>
      <c r="U65" s="879">
        <v>-3.4987004099999561</v>
      </c>
      <c r="V65" s="879">
        <v>0</v>
      </c>
      <c r="W65" s="879">
        <v>0</v>
      </c>
      <c r="X65" s="879">
        <v>0</v>
      </c>
      <c r="Y65" s="879">
        <v>0</v>
      </c>
      <c r="Z65" s="879">
        <v>0</v>
      </c>
      <c r="AA65" s="192"/>
      <c r="AB65" s="879">
        <v>-114.83152254000002</v>
      </c>
      <c r="AC65" s="879">
        <v>-22.009071649999925</v>
      </c>
      <c r="AD65" s="879">
        <v>-92.822450890000084</v>
      </c>
      <c r="AE65" s="879">
        <v>-82.287186860000048</v>
      </c>
      <c r="AF65" s="879">
        <v>-10.535264030000036</v>
      </c>
      <c r="AG65" s="879">
        <v>-1.7890000000000157</v>
      </c>
      <c r="AH65" s="879">
        <v>-8.7462640300000203</v>
      </c>
      <c r="AI65" s="191"/>
      <c r="AJ65" s="192"/>
    </row>
    <row r="66" spans="1:36" ht="12" x14ac:dyDescent="0.2">
      <c r="A66" s="37" t="s">
        <v>245</v>
      </c>
      <c r="B66" s="49"/>
      <c r="C66" s="372" t="s">
        <v>258</v>
      </c>
      <c r="D66" s="192"/>
      <c r="E66" s="331">
        <v>373.21569768999996</v>
      </c>
      <c r="F66" s="331">
        <v>-8.0823851944128506</v>
      </c>
      <c r="G66" s="332" t="str">
        <f>IF(ISERROR($E66*F66),"NM",IF($E66*F66&gt;0,IF(E66/F66&gt;2,"NM",E66/F66-1),"NM"))</f>
        <v>NM</v>
      </c>
      <c r="H66" s="27"/>
      <c r="I66" s="879">
        <v>78.216615259999998</v>
      </c>
      <c r="J66" s="879">
        <v>0</v>
      </c>
      <c r="K66" s="880" t="str">
        <f>IF(ISERROR($I66*J66),"NM",IF($I66*J66&gt;0,IF(I66/J66&gt;2,"NM",I66/J66-1),"NM"))</f>
        <v>NM</v>
      </c>
      <c r="L66" s="881"/>
      <c r="M66" s="879">
        <v>-4.0945898499999984</v>
      </c>
      <c r="N66" s="880" t="str">
        <f>IF(ISERROR($I66*M66),"NM",IF($I66*M66&gt;0,IF(I66/M66&gt;2,"NM",I66/M66-1),"NM"))</f>
        <v>NM</v>
      </c>
      <c r="O66" s="329"/>
      <c r="P66" s="879">
        <v>-6.7215227400000011</v>
      </c>
      <c r="Q66" s="880" t="str">
        <f t="shared" si="1"/>
        <v>NM</v>
      </c>
      <c r="R66" s="27"/>
      <c r="S66" s="879">
        <v>-4.0945898499999984</v>
      </c>
      <c r="T66" s="879">
        <v>-8.0823851944128506</v>
      </c>
      <c r="U66" s="879">
        <v>-16.164770388825701</v>
      </c>
      <c r="V66" s="879">
        <v>0</v>
      </c>
      <c r="W66" s="879">
        <v>0</v>
      </c>
      <c r="X66" s="879">
        <v>0</v>
      </c>
      <c r="Y66" s="879">
        <v>0</v>
      </c>
      <c r="Z66" s="879">
        <v>0</v>
      </c>
      <c r="AA66" s="192"/>
      <c r="AB66" s="879">
        <v>373.21569768999996</v>
      </c>
      <c r="AC66" s="879">
        <v>-6.7215227400000011</v>
      </c>
      <c r="AD66" s="879">
        <v>379.93722042999991</v>
      </c>
      <c r="AE66" s="879">
        <v>-15.803253120000001</v>
      </c>
      <c r="AF66" s="879">
        <v>395.74047354999993</v>
      </c>
      <c r="AG66" s="879">
        <v>395.74047354999993</v>
      </c>
      <c r="AH66" s="879">
        <v>0</v>
      </c>
      <c r="AI66" s="191"/>
      <c r="AJ66" s="192"/>
    </row>
    <row r="67" spans="1:36" ht="12" x14ac:dyDescent="0.2">
      <c r="A67" s="30" t="s">
        <v>56</v>
      </c>
      <c r="C67" s="372" t="s">
        <v>259</v>
      </c>
      <c r="D67" s="192"/>
      <c r="E67" s="331">
        <v>55.526192840000007</v>
      </c>
      <c r="F67" s="331">
        <v>26.090229001395993</v>
      </c>
      <c r="G67" s="332" t="str">
        <f>IF(ISERROR($E67*F67),"NM",IF($E67*F67&gt;0,IF(E67/F67&gt;2,"NM",E67/F67-1),"NM"))</f>
        <v>NM</v>
      </c>
      <c r="H67" s="27"/>
      <c r="I67" s="879">
        <v>6.2266071699999994</v>
      </c>
      <c r="J67" s="879">
        <v>8.0482197600000003</v>
      </c>
      <c r="K67" s="880">
        <f>IF(ISERROR($I67*J67),"NM",IF($I67*J67&gt;0,IF(I67/J67&gt;2,"NM",I67/J67-1),"NM"))</f>
        <v>-0.22633733226986341</v>
      </c>
      <c r="L67" s="881"/>
      <c r="M67" s="879">
        <v>6.7851913599999998</v>
      </c>
      <c r="N67" s="880">
        <f>IF(ISERROR($I67*M67),"NM",IF($I67*M67&gt;0,IF(I67/M67&gt;2,"NM",I67/M67-1),"NM"))</f>
        <v>-8.2324014219106734E-2</v>
      </c>
      <c r="O67" s="329"/>
      <c r="P67" s="879">
        <v>14.72397177</v>
      </c>
      <c r="Q67" s="880">
        <f t="shared" si="1"/>
        <v>-0.57711090001634802</v>
      </c>
      <c r="R67" s="27"/>
      <c r="S67" s="879">
        <v>6.7851913599999998</v>
      </c>
      <c r="T67" s="879">
        <v>26.090229001395993</v>
      </c>
      <c r="U67" s="879">
        <v>7.4183257964859894</v>
      </c>
      <c r="V67" s="879">
        <v>18.671903204910002</v>
      </c>
      <c r="W67" s="879">
        <v>6.3939799749699997</v>
      </c>
      <c r="X67" s="879">
        <v>12.277923229940001</v>
      </c>
      <c r="Y67" s="879">
        <v>6.5753514449699999</v>
      </c>
      <c r="Z67" s="879">
        <v>5.7025717849699999</v>
      </c>
      <c r="AA67" s="192"/>
      <c r="AB67" s="879">
        <v>55.526192840000007</v>
      </c>
      <c r="AC67" s="879">
        <v>14.72397177</v>
      </c>
      <c r="AD67" s="879">
        <v>40.802221070000002</v>
      </c>
      <c r="AE67" s="879">
        <v>26.560052290000005</v>
      </c>
      <c r="AF67" s="879">
        <v>14.24216878</v>
      </c>
      <c r="AG67" s="879">
        <v>6.1939490199999998</v>
      </c>
      <c r="AH67" s="879">
        <v>8.0482197600000003</v>
      </c>
      <c r="AI67" s="191"/>
      <c r="AJ67" s="192"/>
    </row>
    <row r="68" spans="1:36" ht="12" x14ac:dyDescent="0.25">
      <c r="A68" s="30" t="s">
        <v>57</v>
      </c>
      <c r="C68" s="373" t="s">
        <v>260</v>
      </c>
      <c r="D68" s="192"/>
      <c r="E68" s="267">
        <v>238.53612738999993</v>
      </c>
      <c r="F68" s="267">
        <v>-77.123784063016814</v>
      </c>
      <c r="G68" s="307" t="str">
        <f>IF(ISERROR($E68*F68),"NM",IF($E68*F68&gt;0,IF(E68/F68&gt;2,"NM",E68/F68-1),"NM"))</f>
        <v>NM</v>
      </c>
      <c r="H68" s="27"/>
      <c r="I68" s="847">
        <v>-5.5584251699999925</v>
      </c>
      <c r="J68" s="847">
        <v>-20.487346980000002</v>
      </c>
      <c r="K68" s="848">
        <f>IF(ISERROR($I68*J68),"NM",IF($I68*J68&gt;0,IF(I68/J68&gt;2,"NM",I68/J68-1),"NM"))</f>
        <v>-0.72868985059772773</v>
      </c>
      <c r="L68" s="27"/>
      <c r="M68" s="847">
        <v>-20.487346979999998</v>
      </c>
      <c r="N68" s="848">
        <f>IF(ISERROR($I68*M68),"NM",IF($I68*M68&gt;0,IF(I68/M68&gt;2,"NM",I68/M68-1),"NM"))</f>
        <v>-0.72868985059772773</v>
      </c>
      <c r="O68" s="329"/>
      <c r="P68" s="847">
        <v>-29.950301220000004</v>
      </c>
      <c r="Q68" s="848">
        <f t="shared" si="1"/>
        <v>-0.81441171061450879</v>
      </c>
      <c r="R68" s="27"/>
      <c r="S68" s="847">
        <v>-20.487346979999998</v>
      </c>
      <c r="T68" s="847">
        <v>-77.123784063016814</v>
      </c>
      <c r="U68" s="847">
        <v>-27.927354991260149</v>
      </c>
      <c r="V68" s="847">
        <v>-49.196429071756661</v>
      </c>
      <c r="W68" s="847">
        <v>-17.354299311696664</v>
      </c>
      <c r="X68" s="847">
        <v>-31.842129760059997</v>
      </c>
      <c r="Y68" s="847">
        <v>-17.147678845029997</v>
      </c>
      <c r="Z68" s="847">
        <v>-14.69445091503</v>
      </c>
      <c r="AA68" s="192"/>
      <c r="AB68" s="847">
        <v>238.53612738999993</v>
      </c>
      <c r="AC68" s="847">
        <v>-29.950301220000004</v>
      </c>
      <c r="AD68" s="847">
        <v>268.48642860999996</v>
      </c>
      <c r="AE68" s="847">
        <v>-91.354726689999978</v>
      </c>
      <c r="AF68" s="847">
        <v>359.84115529999997</v>
      </c>
      <c r="AG68" s="847">
        <v>380.32850227999995</v>
      </c>
      <c r="AH68" s="847">
        <v>-20.487346980000002</v>
      </c>
      <c r="AI68" s="191"/>
      <c r="AJ68" s="192"/>
    </row>
    <row r="69" spans="1:36" x14ac:dyDescent="0.2">
      <c r="A69" s="3"/>
      <c r="C69" s="23"/>
      <c r="E69" s="13"/>
      <c r="F69" s="13"/>
      <c r="G69" s="6"/>
      <c r="H69" s="24"/>
      <c r="I69" s="13"/>
      <c r="J69" s="13"/>
      <c r="K69" s="6"/>
      <c r="L69" s="24"/>
      <c r="M69" s="13"/>
      <c r="N69" s="6"/>
      <c r="O69" s="6"/>
      <c r="P69" s="6"/>
      <c r="Q69" s="6"/>
      <c r="R69" s="24"/>
      <c r="T69" s="13"/>
      <c r="U69" s="13"/>
      <c r="V69" s="194"/>
      <c r="W69" s="194"/>
      <c r="X69" s="194"/>
      <c r="Y69" s="194"/>
      <c r="Z69" s="13"/>
      <c r="AB69" s="13"/>
      <c r="AC69" s="13"/>
      <c r="AD69" s="13"/>
      <c r="AE69" s="13"/>
      <c r="AF69" s="13"/>
      <c r="AG69" s="13"/>
      <c r="AH69" s="13"/>
    </row>
  </sheetData>
  <pageMargins left="0.39370078740157483" right="0.39370078740157483" top="0.39370078740157483" bottom="0.59055118110236227" header="0.31496062992125984" footer="0.19685039370078741"/>
  <pageSetup paperSize="9" scale="67" orientation="landscape" r:id="rId1"/>
  <headerFooter>
    <oddFooter>&amp;L&amp;"Arial Black,Normal"&amp;F - &amp;A&amp;C&amp;"Arial Black,Normal"&amp;8p. &amp;P / &amp;N&amp;R&amp;"Arial Narrow,Normal"&amp;8&amp;G</oddFooter>
  </headerFooter>
  <customProperties>
    <customPr name="AreLinksHighlighted" r:id="rId2"/>
  </customPropertie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C8E9C-3B28-4221-B327-1ACED36EF6BE}">
  <sheetPr>
    <pageSetUpPr fitToPage="1"/>
  </sheetPr>
  <dimension ref="A1:M28"/>
  <sheetViews>
    <sheetView showGridLines="0" topLeftCell="A13" zoomScaleNormal="100" workbookViewId="0">
      <pane xSplit="4" topLeftCell="E1" activePane="topRight" state="frozen"/>
      <selection activeCell="L26" sqref="L26"/>
      <selection pane="topRight" activeCell="C46" sqref="C46"/>
    </sheetView>
  </sheetViews>
  <sheetFormatPr defaultColWidth="9.125" defaultRowHeight="11.4" outlineLevelRow="1" outlineLevelCol="1" x14ac:dyDescent="0.2"/>
  <cols>
    <col min="1" max="1" width="25.75" hidden="1" customWidth="1" outlineLevel="1"/>
    <col min="2" max="2" width="2.75" customWidth="1" collapsed="1"/>
    <col min="3" max="3" width="58.75" customWidth="1"/>
    <col min="4" max="4" width="2.75" customWidth="1"/>
    <col min="5" max="12" width="10.75" customWidth="1"/>
    <col min="13" max="13" width="3.875" customWidth="1"/>
  </cols>
  <sheetData>
    <row r="1" spans="1:13" hidden="1" outlineLevel="1" x14ac:dyDescent="0.2">
      <c r="A1" s="134"/>
      <c r="B1" s="134"/>
      <c r="C1" s="3" t="s">
        <v>21</v>
      </c>
      <c r="D1" s="134"/>
      <c r="E1" s="184" t="s">
        <v>196</v>
      </c>
      <c r="F1" s="184" t="s">
        <v>193</v>
      </c>
      <c r="G1" s="184" t="s">
        <v>192</v>
      </c>
      <c r="H1" s="184" t="s">
        <v>195</v>
      </c>
      <c r="I1" s="184" t="s">
        <v>191</v>
      </c>
      <c r="J1" s="184" t="s">
        <v>194</v>
      </c>
      <c r="K1" s="184" t="s">
        <v>190</v>
      </c>
      <c r="L1" s="184" t="s">
        <v>189</v>
      </c>
      <c r="M1" s="134"/>
    </row>
    <row r="2" spans="1:13" hidden="1" outlineLevel="1" x14ac:dyDescent="0.2">
      <c r="A2" s="134"/>
      <c r="B2" s="134"/>
      <c r="C2" s="3"/>
      <c r="D2" s="134"/>
      <c r="E2" s="163">
        <v>45747</v>
      </c>
      <c r="F2" s="163">
        <f>EOMONTH(E2,-3)</f>
        <v>45657</v>
      </c>
      <c r="G2" s="163">
        <f>F2</f>
        <v>45657</v>
      </c>
      <c r="H2" s="163">
        <f>EOMONTH(G2,-3)</f>
        <v>45565</v>
      </c>
      <c r="I2" s="163">
        <f>EOMONTH(G2,-3)</f>
        <v>45565</v>
      </c>
      <c r="J2" s="163">
        <f>EOMONTH(I2,-3)</f>
        <v>45473</v>
      </c>
      <c r="K2" s="163">
        <f>EOMONTH(I2,-3)</f>
        <v>45473</v>
      </c>
      <c r="L2" s="163">
        <f>EOMONTH(K2,-3)</f>
        <v>45382</v>
      </c>
      <c r="M2" s="134"/>
    </row>
    <row r="3" spans="1:13" collapsed="1" x14ac:dyDescent="0.2">
      <c r="A3" s="3" t="s">
        <v>3</v>
      </c>
      <c r="B3" s="134"/>
      <c r="C3" s="134"/>
      <c r="D3" s="134"/>
      <c r="E3" s="134"/>
      <c r="F3" s="134"/>
      <c r="G3" s="134"/>
      <c r="H3" s="134"/>
      <c r="I3" s="134"/>
      <c r="J3" s="134"/>
      <c r="K3" s="134"/>
      <c r="L3" s="134"/>
      <c r="M3" s="134"/>
    </row>
    <row r="4" spans="1:13" ht="17.399999999999999" x14ac:dyDescent="0.3">
      <c r="B4" s="89"/>
      <c r="C4" s="77" t="s">
        <v>200</v>
      </c>
      <c r="D4" s="89"/>
      <c r="E4" s="77" t="s">
        <v>185</v>
      </c>
    </row>
    <row r="5" spans="1:13" ht="26.25" customHeight="1" thickBot="1" x14ac:dyDescent="0.3">
      <c r="C5" s="4" t="s">
        <v>277</v>
      </c>
      <c r="D5" s="192"/>
      <c r="E5" s="5" t="str" cm="1">
        <f t="array" ref="E5">INDEX(TableYtd,MONTH(E$2),2)&amp;YEAR(E$2)</f>
        <v>Q1 2025</v>
      </c>
      <c r="F5" s="5" t="str" cm="1">
        <f t="array" ref="F5">INDEX(TableYtd,MONTH(F$2),2)&amp;YEAR(F$2)</f>
        <v>FY 2024</v>
      </c>
      <c r="G5" s="5" t="str">
        <f>MID(G$1,5,2)&amp;" "&amp;LEFT(G$1,4)</f>
        <v>Q4 2024</v>
      </c>
      <c r="H5" s="5" t="s">
        <v>235</v>
      </c>
      <c r="I5" s="5" t="str">
        <f>MID(I$1,5,2)&amp;" "&amp;LEFT(I$1,4)</f>
        <v>Q3 2024</v>
      </c>
      <c r="J5" s="5" t="s">
        <v>229</v>
      </c>
      <c r="K5" s="5" t="str">
        <f>MID(K$1,5,2)&amp;" "&amp;LEFT(K$1,4)</f>
        <v>Q2 2024</v>
      </c>
      <c r="L5" s="5" t="str">
        <f>MID(L$1,5,2)&amp;" "&amp;LEFT(L$1,4)</f>
        <v>Q1 2024</v>
      </c>
      <c r="M5" s="192"/>
    </row>
    <row r="6" spans="1:13" x14ac:dyDescent="0.2">
      <c r="A6" s="3" t="s">
        <v>22</v>
      </c>
      <c r="B6" s="49"/>
      <c r="C6" s="48" t="s">
        <v>148</v>
      </c>
      <c r="D6" s="245"/>
      <c r="E6" s="839">
        <v>87.510607689999986</v>
      </c>
      <c r="F6" s="839">
        <v>327.86982865000004</v>
      </c>
      <c r="G6" s="839">
        <v>88.447447400000073</v>
      </c>
      <c r="H6" s="839">
        <v>239.42238124999997</v>
      </c>
      <c r="I6" s="839">
        <v>81.088178939999978</v>
      </c>
      <c r="J6" s="839">
        <v>158.33420230999999</v>
      </c>
      <c r="K6" s="839">
        <v>85.185270629999991</v>
      </c>
      <c r="L6" s="839">
        <v>73.148931680000004</v>
      </c>
      <c r="M6" s="192"/>
    </row>
    <row r="7" spans="1:13" x14ac:dyDescent="0.2">
      <c r="A7" s="3" t="s">
        <v>23</v>
      </c>
      <c r="B7" s="49"/>
      <c r="C7" s="51" t="s">
        <v>67</v>
      </c>
      <c r="D7" s="245"/>
      <c r="E7" s="52">
        <v>0.23078277000000003</v>
      </c>
      <c r="F7" s="52">
        <v>4.7863262600000001</v>
      </c>
      <c r="G7" s="52">
        <v>1.1899182199999996</v>
      </c>
      <c r="H7" s="52">
        <v>3.5964080400000005</v>
      </c>
      <c r="I7" s="52">
        <v>1.5816079000000003</v>
      </c>
      <c r="J7" s="52">
        <v>2.0148001400000002</v>
      </c>
      <c r="K7" s="52">
        <v>0.66738366999999998</v>
      </c>
      <c r="L7" s="52">
        <v>1.3474164700000002</v>
      </c>
      <c r="M7" s="192"/>
    </row>
    <row r="8" spans="1:13" ht="12" x14ac:dyDescent="0.25">
      <c r="A8" s="3" t="s">
        <v>25</v>
      </c>
      <c r="B8" s="49"/>
      <c r="C8" s="85" t="s">
        <v>69</v>
      </c>
      <c r="D8" s="246"/>
      <c r="E8" s="843">
        <v>87.741390459999991</v>
      </c>
      <c r="F8" s="843">
        <v>332.65615491000005</v>
      </c>
      <c r="G8" s="843">
        <v>89.637365620000082</v>
      </c>
      <c r="H8" s="843">
        <v>243.01878928999997</v>
      </c>
      <c r="I8" s="843">
        <v>82.669786839999972</v>
      </c>
      <c r="J8" s="843">
        <v>160.34900245</v>
      </c>
      <c r="K8" s="843">
        <v>85.852654299999998</v>
      </c>
      <c r="L8" s="843">
        <v>74.496348150000003</v>
      </c>
      <c r="M8" s="192"/>
    </row>
    <row r="9" spans="1:13" x14ac:dyDescent="0.2">
      <c r="A9" s="3" t="s">
        <v>27</v>
      </c>
      <c r="B9" s="49"/>
      <c r="C9" s="54" t="s">
        <v>71</v>
      </c>
      <c r="D9" s="245"/>
      <c r="E9" s="52">
        <v>0</v>
      </c>
      <c r="F9" s="52">
        <v>0</v>
      </c>
      <c r="G9" s="52">
        <v>0</v>
      </c>
      <c r="H9" s="52">
        <v>0</v>
      </c>
      <c r="I9" s="52">
        <v>0</v>
      </c>
      <c r="J9" s="52">
        <v>0</v>
      </c>
      <c r="K9" s="52">
        <v>0</v>
      </c>
      <c r="L9" s="52">
        <v>0</v>
      </c>
      <c r="M9" s="192"/>
    </row>
    <row r="10" spans="1:13" ht="12" x14ac:dyDescent="0.25">
      <c r="A10" s="3" t="s">
        <v>29</v>
      </c>
      <c r="B10" s="86"/>
      <c r="C10" s="54" t="s">
        <v>197</v>
      </c>
      <c r="D10" s="245"/>
      <c r="E10" s="52">
        <v>1.7870478000000074</v>
      </c>
      <c r="F10" s="52">
        <v>11.974638599999995</v>
      </c>
      <c r="G10" s="52">
        <v>3.7081806799999946</v>
      </c>
      <c r="H10" s="52">
        <v>8.2664579200000006</v>
      </c>
      <c r="I10" s="52">
        <v>2.1634774299999986</v>
      </c>
      <c r="J10" s="52">
        <v>6.102980490000002</v>
      </c>
      <c r="K10" s="52">
        <v>2.8414779600000024</v>
      </c>
      <c r="L10" s="52">
        <v>3.2615025299999996</v>
      </c>
      <c r="M10" s="247"/>
    </row>
    <row r="11" spans="1:13" ht="12" x14ac:dyDescent="0.25">
      <c r="A11" s="3" t="s">
        <v>30</v>
      </c>
      <c r="C11" s="7" t="s">
        <v>72</v>
      </c>
      <c r="D11" s="192"/>
      <c r="E11" s="14">
        <v>89.528438260000001</v>
      </c>
      <c r="F11" s="14">
        <v>344.63079351000005</v>
      </c>
      <c r="G11" s="14">
        <v>93.34554630000008</v>
      </c>
      <c r="H11" s="14">
        <v>251.28524720999997</v>
      </c>
      <c r="I11" s="14">
        <v>84.833264269999972</v>
      </c>
      <c r="J11" s="14">
        <v>166.45198293999999</v>
      </c>
      <c r="K11" s="14">
        <v>88.694132259999989</v>
      </c>
      <c r="L11" s="14">
        <v>77.757850680000004</v>
      </c>
      <c r="M11" s="192"/>
    </row>
    <row r="12" spans="1:13" ht="12" x14ac:dyDescent="0.25">
      <c r="A12" s="3" t="s">
        <v>35</v>
      </c>
      <c r="C12" s="7" t="s">
        <v>76</v>
      </c>
      <c r="D12" s="192"/>
      <c r="E12" s="14">
        <v>-67.171416850000014</v>
      </c>
      <c r="F12" s="14">
        <v>-221.36678976855507</v>
      </c>
      <c r="G12" s="14">
        <v>-67.159489158555061</v>
      </c>
      <c r="H12" s="14">
        <v>-154.20730061</v>
      </c>
      <c r="I12" s="14">
        <v>-53.192699919999981</v>
      </c>
      <c r="J12" s="14">
        <v>-101.01460069000002</v>
      </c>
      <c r="K12" s="14">
        <v>-50.694801250000033</v>
      </c>
      <c r="L12" s="14">
        <v>-50.31979943999999</v>
      </c>
      <c r="M12" s="192"/>
    </row>
    <row r="13" spans="1:13" ht="12" x14ac:dyDescent="0.25">
      <c r="A13" s="3" t="s">
        <v>36</v>
      </c>
      <c r="C13" s="8" t="s">
        <v>77</v>
      </c>
      <c r="D13" s="192"/>
      <c r="E13" s="847">
        <v>-61.783798520000012</v>
      </c>
      <c r="F13" s="847">
        <v>-210.62465101999996</v>
      </c>
      <c r="G13" s="847">
        <v>-56.417350409999955</v>
      </c>
      <c r="H13" s="847">
        <v>-154.20730061</v>
      </c>
      <c r="I13" s="847">
        <v>-53.192699919999981</v>
      </c>
      <c r="J13" s="847">
        <v>-101.01460069000002</v>
      </c>
      <c r="K13" s="847">
        <v>-50.694801250000033</v>
      </c>
      <c r="L13" s="847">
        <v>-50.31979943999999</v>
      </c>
      <c r="M13" s="192"/>
    </row>
    <row r="14" spans="1:13" ht="12" x14ac:dyDescent="0.2">
      <c r="A14" s="137" t="s">
        <v>215</v>
      </c>
      <c r="B14" s="19"/>
      <c r="C14" s="188" t="s">
        <v>216</v>
      </c>
      <c r="D14" s="248"/>
      <c r="E14" s="853">
        <f>-E12/E11</f>
        <v>0.75028022554048301</v>
      </c>
      <c r="F14" s="853">
        <f>-F12/F11</f>
        <v>0.64233026745513888</v>
      </c>
      <c r="G14" s="853">
        <f t="shared" ref="G14:L14" si="0">-G12/G11</f>
        <v>0.71947181007129635</v>
      </c>
      <c r="H14" s="853">
        <f>-H12/H11</f>
        <v>0.61367430966262981</v>
      </c>
      <c r="I14" s="853">
        <f t="shared" si="0"/>
        <v>0.62702644272537789</v>
      </c>
      <c r="J14" s="853">
        <f>-J12/J11</f>
        <v>0.60686931393549204</v>
      </c>
      <c r="K14" s="853">
        <f t="shared" si="0"/>
        <v>0.5715688282669269</v>
      </c>
      <c r="L14" s="853">
        <f t="shared" si="0"/>
        <v>0.64713464942701504</v>
      </c>
      <c r="M14" s="27"/>
    </row>
    <row r="15" spans="1:13" ht="12" x14ac:dyDescent="0.2">
      <c r="A15" s="137" t="s">
        <v>213</v>
      </c>
      <c r="B15" s="19"/>
      <c r="C15" s="185" t="s">
        <v>214</v>
      </c>
      <c r="D15" s="248"/>
      <c r="E15" s="855">
        <f>-E13/E11</f>
        <v>0.69010249392012579</v>
      </c>
      <c r="F15" s="855">
        <f>-F13/F11</f>
        <v>0.6111602764071874</v>
      </c>
      <c r="G15" s="855">
        <f t="shared" ref="G15:L15" si="1">-G13/G11</f>
        <v>0.60439252483114891</v>
      </c>
      <c r="H15" s="855">
        <f>-H13/H11</f>
        <v>0.61367430966262981</v>
      </c>
      <c r="I15" s="855">
        <f t="shared" si="1"/>
        <v>0.62702644272537789</v>
      </c>
      <c r="J15" s="855">
        <f>-J13/J11</f>
        <v>0.60686931393549204</v>
      </c>
      <c r="K15" s="855">
        <f t="shared" si="1"/>
        <v>0.5715688282669269</v>
      </c>
      <c r="L15" s="855">
        <f t="shared" si="1"/>
        <v>0.64713464942701504</v>
      </c>
      <c r="M15" s="27"/>
    </row>
    <row r="16" spans="1:13" ht="12" x14ac:dyDescent="0.2">
      <c r="A16" s="3" t="s">
        <v>39</v>
      </c>
      <c r="B16" s="10"/>
      <c r="C16" s="9" t="s">
        <v>80</v>
      </c>
      <c r="D16" s="250"/>
      <c r="E16" s="847">
        <v>27.744639739999982</v>
      </c>
      <c r="F16" s="847">
        <v>134.00614249000009</v>
      </c>
      <c r="G16" s="847">
        <v>36.928195890000126</v>
      </c>
      <c r="H16" s="847">
        <v>97.077946599999962</v>
      </c>
      <c r="I16" s="847">
        <v>31.640564349999991</v>
      </c>
      <c r="J16" s="847">
        <v>65.43738224999997</v>
      </c>
      <c r="K16" s="847">
        <v>37.999331009999956</v>
      </c>
      <c r="L16" s="847">
        <v>27.438051240000014</v>
      </c>
      <c r="M16" s="192"/>
    </row>
    <row r="17" spans="1:13" x14ac:dyDescent="0.2">
      <c r="A17" s="3" t="s">
        <v>41</v>
      </c>
      <c r="B17" s="49"/>
      <c r="C17" s="54" t="s">
        <v>82</v>
      </c>
      <c r="D17" s="245"/>
      <c r="E17" s="52">
        <v>-7.5742459999999998E-2</v>
      </c>
      <c r="F17" s="52">
        <v>4.0082770099999996</v>
      </c>
      <c r="G17" s="52">
        <v>2.7267019999999587E-2</v>
      </c>
      <c r="H17" s="52">
        <v>3.98100999</v>
      </c>
      <c r="I17" s="52">
        <v>-0.10680144000000036</v>
      </c>
      <c r="J17" s="52">
        <v>4.0878114300000004</v>
      </c>
      <c r="K17" s="52">
        <v>3.1781764200000002</v>
      </c>
      <c r="L17" s="52">
        <v>0.90963501000000002</v>
      </c>
      <c r="M17" s="192"/>
    </row>
    <row r="18" spans="1:13" ht="12" x14ac:dyDescent="0.25">
      <c r="A18" s="3" t="s">
        <v>44</v>
      </c>
      <c r="C18" s="8" t="s">
        <v>83</v>
      </c>
      <c r="D18" s="192"/>
      <c r="E18" s="847">
        <v>27.668897279999982</v>
      </c>
      <c r="F18" s="847">
        <v>138.01441950000009</v>
      </c>
      <c r="G18" s="847">
        <v>36.955462910000122</v>
      </c>
      <c r="H18" s="847">
        <v>101.05895658999997</v>
      </c>
      <c r="I18" s="847">
        <v>31.533762909999993</v>
      </c>
      <c r="J18" s="847">
        <v>69.525193679999973</v>
      </c>
      <c r="K18" s="847">
        <v>41.177507429999963</v>
      </c>
      <c r="L18" s="847">
        <v>28.347686250000013</v>
      </c>
      <c r="M18" s="192"/>
    </row>
    <row r="19" spans="1:13" x14ac:dyDescent="0.2">
      <c r="A19" s="3" t="s">
        <v>46</v>
      </c>
      <c r="B19" s="49"/>
      <c r="C19" s="54" t="s">
        <v>85</v>
      </c>
      <c r="D19" s="245"/>
      <c r="E19" s="52">
        <v>-4.5433063299999992</v>
      </c>
      <c r="F19" s="52">
        <v>-28.83851288305776</v>
      </c>
      <c r="G19" s="52">
        <v>-4.6253310230577664</v>
      </c>
      <c r="H19" s="52">
        <v>-24.213181859999995</v>
      </c>
      <c r="I19" s="52">
        <v>-7.9375256099999945</v>
      </c>
      <c r="J19" s="52">
        <v>-16.275656250000001</v>
      </c>
      <c r="K19" s="52">
        <v>-9.3704521800000009</v>
      </c>
      <c r="L19" s="52">
        <v>-6.905204069999999</v>
      </c>
      <c r="M19" s="192"/>
    </row>
    <row r="20" spans="1:13" x14ac:dyDescent="0.2">
      <c r="A20" s="3" t="s">
        <v>47</v>
      </c>
      <c r="C20" s="83" t="s">
        <v>86</v>
      </c>
      <c r="D20" s="245"/>
      <c r="E20" s="841">
        <v>-5.8363347399999999</v>
      </c>
      <c r="F20" s="841">
        <v>-31.498266437200005</v>
      </c>
      <c r="G20" s="841">
        <v>-7.2850845772000099</v>
      </c>
      <c r="H20" s="841">
        <v>-24.213181859999995</v>
      </c>
      <c r="I20" s="841">
        <v>-7.9375256099999945</v>
      </c>
      <c r="J20" s="841">
        <v>-16.275656250000001</v>
      </c>
      <c r="K20" s="841">
        <v>-9.3704521800000009</v>
      </c>
      <c r="L20" s="841">
        <v>-6.905204069999999</v>
      </c>
      <c r="M20" s="192"/>
    </row>
    <row r="21" spans="1:13" ht="12" x14ac:dyDescent="0.25">
      <c r="A21" s="3" t="s">
        <v>50</v>
      </c>
      <c r="B21" s="18"/>
      <c r="C21" s="15" t="s">
        <v>89</v>
      </c>
      <c r="D21" s="249"/>
      <c r="E21" s="14">
        <v>17.737972619999987</v>
      </c>
      <c r="F21" s="14">
        <v>98.433767868387235</v>
      </c>
      <c r="G21" s="14">
        <v>21.587993138387262</v>
      </c>
      <c r="H21" s="14">
        <v>76.845774729999974</v>
      </c>
      <c r="I21" s="14">
        <v>23.596237299999999</v>
      </c>
      <c r="J21" s="14">
        <v>53.249537429999975</v>
      </c>
      <c r="K21" s="14">
        <v>31.807055249999962</v>
      </c>
      <c r="L21" s="14">
        <v>21.442482180000013</v>
      </c>
      <c r="M21" s="192"/>
    </row>
    <row r="22" spans="1:13" ht="12" x14ac:dyDescent="0.2">
      <c r="A22" s="3" t="s">
        <v>51</v>
      </c>
      <c r="B22" s="10"/>
      <c r="C22" s="9" t="s">
        <v>90</v>
      </c>
      <c r="D22" s="250"/>
      <c r="E22" s="847">
        <v>21.832562539999984</v>
      </c>
      <c r="F22" s="847">
        <v>106.51615306280009</v>
      </c>
      <c r="G22" s="847">
        <v>29.670378332800112</v>
      </c>
      <c r="H22" s="847">
        <v>76.845774729999974</v>
      </c>
      <c r="I22" s="847">
        <v>23.596237299999999</v>
      </c>
      <c r="J22" s="847">
        <v>53.249537429999975</v>
      </c>
      <c r="K22" s="847">
        <v>31.807055249999962</v>
      </c>
      <c r="L22" s="847">
        <v>21.442482180000013</v>
      </c>
      <c r="M22" s="192"/>
    </row>
    <row r="23" spans="1:13" x14ac:dyDescent="0.2">
      <c r="A23" s="3"/>
      <c r="C23" s="23"/>
      <c r="D23" s="192"/>
      <c r="E23" s="251"/>
      <c r="F23" s="251"/>
      <c r="G23" s="251"/>
      <c r="H23" s="251"/>
      <c r="I23" s="251"/>
      <c r="J23" s="251"/>
      <c r="K23" s="251"/>
      <c r="L23" s="251"/>
      <c r="M23" s="192"/>
    </row>
    <row r="24" spans="1:13" ht="12" x14ac:dyDescent="0.25">
      <c r="A24" s="3"/>
      <c r="C24" s="21" t="s">
        <v>65</v>
      </c>
      <c r="D24" s="192"/>
      <c r="E24" s="22"/>
      <c r="F24" s="34"/>
      <c r="G24" s="22"/>
      <c r="H24" s="34"/>
      <c r="I24" s="34"/>
      <c r="J24" s="34"/>
      <c r="K24" s="34"/>
      <c r="L24" s="34"/>
      <c r="M24" s="192"/>
    </row>
    <row r="25" spans="1:13" x14ac:dyDescent="0.2">
      <c r="A25" s="3" t="s">
        <v>55</v>
      </c>
      <c r="B25" s="49"/>
      <c r="C25" s="54" t="s">
        <v>92</v>
      </c>
      <c r="D25" s="245"/>
      <c r="E25" s="52">
        <v>-5.3876183300000005</v>
      </c>
      <c r="F25" s="52">
        <v>-10.742138748555101</v>
      </c>
      <c r="G25" s="52">
        <v>-10.742138748555101</v>
      </c>
      <c r="H25" s="52">
        <v>0</v>
      </c>
      <c r="I25" s="52">
        <v>0</v>
      </c>
      <c r="J25" s="52">
        <v>0</v>
      </c>
      <c r="K25" s="52">
        <v>0</v>
      </c>
      <c r="L25" s="52">
        <v>0</v>
      </c>
      <c r="M25" s="192"/>
    </row>
    <row r="26" spans="1:13" x14ac:dyDescent="0.2">
      <c r="A26" s="3" t="s">
        <v>239</v>
      </c>
      <c r="B26" s="49"/>
      <c r="C26" s="54" t="s">
        <v>93</v>
      </c>
      <c r="D26" s="245"/>
      <c r="E26" s="52">
        <v>1.2930284100000007</v>
      </c>
      <c r="F26" s="52">
        <v>2.6597535541422435</v>
      </c>
      <c r="G26" s="52">
        <v>2.6597535541422435</v>
      </c>
      <c r="H26" s="52">
        <v>0</v>
      </c>
      <c r="I26" s="52">
        <v>0</v>
      </c>
      <c r="J26" s="52">
        <v>0</v>
      </c>
      <c r="K26" s="52">
        <v>0</v>
      </c>
      <c r="L26" s="52">
        <v>0</v>
      </c>
      <c r="M26" s="192"/>
    </row>
    <row r="27" spans="1:13" x14ac:dyDescent="0.2">
      <c r="A27" s="3" t="s">
        <v>240</v>
      </c>
      <c r="B27" s="49"/>
      <c r="C27" s="54" t="s">
        <v>94</v>
      </c>
      <c r="D27" s="245"/>
      <c r="E27" s="52">
        <v>-4.0945899199999998</v>
      </c>
      <c r="F27" s="52">
        <v>-8.0823851944128577</v>
      </c>
      <c r="G27" s="52">
        <v>-8.0823851944128577</v>
      </c>
      <c r="H27" s="52">
        <v>0</v>
      </c>
      <c r="I27" s="52">
        <v>0</v>
      </c>
      <c r="J27" s="52">
        <v>0</v>
      </c>
      <c r="K27" s="52">
        <v>0</v>
      </c>
      <c r="L27" s="52">
        <v>0</v>
      </c>
      <c r="M27" s="192"/>
    </row>
    <row r="28" spans="1:13" ht="12" x14ac:dyDescent="0.25">
      <c r="A28" s="3"/>
      <c r="C28" s="21" t="s">
        <v>262</v>
      </c>
      <c r="D28" s="192"/>
      <c r="E28" s="875">
        <f t="shared" ref="E28:L28" si="2">SUM(E25:E27)</f>
        <v>-8.1891798399999995</v>
      </c>
      <c r="F28" s="875">
        <f t="shared" si="2"/>
        <v>-16.164770388825715</v>
      </c>
      <c r="G28" s="875">
        <f t="shared" si="2"/>
        <v>-16.164770388825715</v>
      </c>
      <c r="H28" s="875">
        <f t="shared" si="2"/>
        <v>0</v>
      </c>
      <c r="I28" s="875">
        <f t="shared" si="2"/>
        <v>0</v>
      </c>
      <c r="J28" s="875">
        <f t="shared" si="2"/>
        <v>0</v>
      </c>
      <c r="K28" s="875">
        <f t="shared" si="2"/>
        <v>0</v>
      </c>
      <c r="L28" s="875">
        <f t="shared" si="2"/>
        <v>0</v>
      </c>
      <c r="M28" s="192"/>
    </row>
  </sheetData>
  <pageMargins left="0.39370078740157483" right="0.39370078740157483" top="0.39370078740157483" bottom="0.59055118110236227" header="0.31496062992125984" footer="0.19685039370078741"/>
  <pageSetup paperSize="9" orientation="landscape" r:id="rId1"/>
  <headerFooter>
    <oddFooter>&amp;L&amp;"Arial Black,Normal"&amp;F - &amp;A&amp;C&amp;"Arial Black,Normal"&amp;8p. &amp;P / &amp;N&amp;R&amp;"Arial Narrow,Normal"&amp;8&amp;G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9B235-0462-43B5-AEF4-FD8682EEAB12}">
  <sheetPr>
    <pageSetUpPr fitToPage="1"/>
  </sheetPr>
  <dimension ref="A1:AV80"/>
  <sheetViews>
    <sheetView showGridLines="0" topLeftCell="A39" zoomScaleNormal="100" workbookViewId="0">
      <pane xSplit="4" topLeftCell="Q1" activePane="topRight" state="frozen"/>
      <selection activeCell="L26" sqref="L26"/>
      <selection pane="topRight" activeCell="C14" sqref="C14"/>
    </sheetView>
  </sheetViews>
  <sheetFormatPr defaultColWidth="9.125" defaultRowHeight="11.4" outlineLevelRow="1" outlineLevelCol="1" x14ac:dyDescent="0.2"/>
  <cols>
    <col min="1" max="1" width="25.75" hidden="1" customWidth="1" outlineLevel="1"/>
    <col min="2" max="2" width="2.75" customWidth="1" collapsed="1"/>
    <col min="3" max="3" width="58.75" customWidth="1"/>
    <col min="4" max="4" width="2.75" customWidth="1"/>
    <col min="5" max="5" width="19" hidden="1" customWidth="1" outlineLevel="1"/>
    <col min="6" max="6" width="10.75" hidden="1" customWidth="1" outlineLevel="1"/>
    <col min="7" max="7" width="10.75" style="32" hidden="1" customWidth="1" outlineLevel="1"/>
    <col min="8" max="8" width="1.75" style="25" hidden="1" customWidth="1" outlineLevel="1"/>
    <col min="9" max="9" width="10.75" customWidth="1" collapsed="1"/>
    <col min="10" max="10" width="10.75" customWidth="1"/>
    <col min="11" max="11" width="10.75" style="32" customWidth="1"/>
    <col min="12" max="12" width="1.875" style="25" customWidth="1"/>
    <col min="13" max="13" width="0.125" style="25" hidden="1" customWidth="1"/>
    <col min="14" max="14" width="10.75" customWidth="1"/>
    <col min="15" max="15" width="10.75" style="32" customWidth="1"/>
    <col min="16" max="16" width="8.625" style="25" customWidth="1"/>
    <col min="17" max="23" width="10.75" customWidth="1"/>
    <col min="24" max="24" width="2" customWidth="1"/>
    <col min="25" max="31" width="10.75" customWidth="1"/>
    <col min="32" max="32" width="2.125" customWidth="1"/>
    <col min="33" max="39" width="10.75" customWidth="1"/>
    <col min="40" max="40" width="2" customWidth="1"/>
    <col min="41" max="41" width="9.25" bestFit="1" customWidth="1"/>
    <col min="42" max="47" width="10.625" customWidth="1"/>
  </cols>
  <sheetData>
    <row r="1" spans="1:48" hidden="1" outlineLevel="1" x14ac:dyDescent="0.2">
      <c r="A1" s="134"/>
      <c r="B1" s="134"/>
      <c r="C1" s="3" t="s">
        <v>21</v>
      </c>
      <c r="D1" s="134"/>
      <c r="E1" s="3" t="str">
        <f>DateYtd</f>
        <v>2026Mar</v>
      </c>
      <c r="F1" s="3" t="str" cm="1">
        <f t="array" ref="F1">YEAR(EOMONTH(DateRef,-12))&amp;INDEX(TableYtd,MONTH(EOMONTH(DateRef,-12)),1)</f>
        <v>2025Mar</v>
      </c>
      <c r="G1" s="158"/>
      <c r="H1" s="159"/>
      <c r="I1" s="3" t="str">
        <f>YEAR(EOMONTH(DateRef,0))&amp;"Q"&amp;MONTH(EOMONTH(DateRef,0))/3</f>
        <v>2026Q1</v>
      </c>
      <c r="J1" s="160" t="str">
        <f>YEAR(J2)&amp;"Q"&amp;MONTH(J2)/3</f>
        <v>2025Q1</v>
      </c>
      <c r="K1" s="158"/>
      <c r="L1" s="159"/>
      <c r="M1" s="159"/>
      <c r="N1" s="3" t="str">
        <f>YEAR(EOMONTH(DateRef,-3))&amp;"Q"&amp;MONTH(EOMONTH(DateRef,-3))/3</f>
        <v>2025Q4</v>
      </c>
      <c r="O1" s="158"/>
      <c r="P1" s="159"/>
      <c r="Q1" s="160" t="str" cm="1">
        <f t="array" ref="Q1">YEAR(Q$2)&amp;INDEX(TableYtd,MONTH(Q$2),1)</f>
        <v>2025Dec</v>
      </c>
      <c r="R1" s="160" t="str">
        <f>YEAR(R2)&amp;"Q"&amp;MONTH(R2)/3</f>
        <v>2025Q4</v>
      </c>
      <c r="S1" s="160" t="str" cm="1">
        <f t="array" ref="S1">YEAR(S$2)&amp;INDEX(TableYtd,MONTH(S$2),1)</f>
        <v>2025Sep</v>
      </c>
      <c r="T1" s="160" t="str">
        <f>YEAR(T2)&amp;"Q"&amp;MONTH(T2)/3</f>
        <v>2025Q3</v>
      </c>
      <c r="U1" s="160" t="s">
        <v>226</v>
      </c>
      <c r="V1" s="160" t="str">
        <f>YEAR(V2)&amp;"Q"&amp;MONTH(V2)/3</f>
        <v>2025Q2</v>
      </c>
      <c r="W1" s="160" t="str">
        <f>YEAR(W2)&amp;"Q"&amp;MONTH(W2)/3</f>
        <v>2025Q1</v>
      </c>
      <c r="X1" s="160"/>
      <c r="Y1" s="160" t="str" cm="1">
        <f t="array" ref="Y1">YEAR(Y$2)&amp;INDEX(TableYtd,MONTH(Y$2),1)</f>
        <v>2024Dec</v>
      </c>
      <c r="Z1" s="160" t="str">
        <f>YEAR(Z2)&amp;"Q"&amp;MONTH(Z2)/3</f>
        <v>2024Q4</v>
      </c>
      <c r="AA1" s="160" t="str" cm="1">
        <f t="array" ref="AA1">YEAR(AA$2)&amp;INDEX(TableYtd,MONTH(AA$2),1)</f>
        <v>2024Sep</v>
      </c>
      <c r="AB1" s="160" t="str">
        <f>YEAR(AB2)&amp;"Q"&amp;MONTH(AB2)/3</f>
        <v>2024Q3</v>
      </c>
      <c r="AC1" s="160" t="s">
        <v>234</v>
      </c>
      <c r="AD1" s="160" t="str">
        <f>YEAR(AD2)&amp;"Q"&amp;MONTH(AD2)/3</f>
        <v>2024Q2</v>
      </c>
      <c r="AE1" s="160" t="str">
        <f>YEAR(AE2)&amp;"Q"&amp;MONTH(AE2)/3</f>
        <v>2024Q1</v>
      </c>
      <c r="AF1" s="134"/>
      <c r="AG1" s="160" t="str" cm="1">
        <f t="array" ref="AG1">YEAR(AG$2)&amp;INDEX(TableYtd,MONTH(AG$2),1)</f>
        <v>2023Dec</v>
      </c>
      <c r="AH1" s="160" t="str">
        <f>YEAR(AH2)&amp;"Q"&amp;MONTH(AH2)/3</f>
        <v>2023Q4</v>
      </c>
      <c r="AI1" s="160" t="str" cm="1">
        <f t="array" ref="AI1">YEAR(AI$2)&amp;INDEX(TableYtd,MONTH(AI$2),1)</f>
        <v>2023Sep</v>
      </c>
      <c r="AJ1" s="160" t="str">
        <f>YEAR(AJ2)&amp;"Q"&amp;MONTH(AJ2)/3</f>
        <v>2023Q3</v>
      </c>
      <c r="AK1" s="160" t="str" cm="1">
        <f t="array" ref="AK1">YEAR(AK$2)&amp;INDEX(TableYtd,MONTH(AK$2),1)</f>
        <v>2023Jun</v>
      </c>
      <c r="AL1" s="160" t="str">
        <f>YEAR(AL2)&amp;"Q"&amp;MONTH(AL2)/3</f>
        <v>2023Q2</v>
      </c>
      <c r="AM1" s="160" t="str">
        <f>YEAR(AM2)&amp;"Q"&amp;MONTH(AM2)/3</f>
        <v>2023Q1</v>
      </c>
      <c r="AN1" s="134"/>
      <c r="AO1" s="160"/>
      <c r="AP1" s="160"/>
      <c r="AQ1" s="160"/>
      <c r="AR1" s="160"/>
      <c r="AS1" s="160"/>
      <c r="AT1" s="160"/>
      <c r="AU1" s="160"/>
    </row>
    <row r="2" spans="1:48" hidden="1" outlineLevel="1" x14ac:dyDescent="0.2">
      <c r="A2" s="134"/>
      <c r="B2" s="134"/>
      <c r="C2" s="3"/>
      <c r="D2" s="134"/>
      <c r="E2" s="134"/>
      <c r="F2" s="134"/>
      <c r="G2" s="161"/>
      <c r="H2" s="162"/>
      <c r="I2" s="134"/>
      <c r="J2" s="163">
        <f>EOMONTH(E4,-12)</f>
        <v>45747</v>
      </c>
      <c r="K2" s="161"/>
      <c r="L2" s="162"/>
      <c r="M2" s="162"/>
      <c r="N2" s="134"/>
      <c r="O2" s="161"/>
      <c r="P2" s="162"/>
      <c r="Q2" s="163">
        <v>46022</v>
      </c>
      <c r="R2" s="163">
        <f>Q2</f>
        <v>46022</v>
      </c>
      <c r="S2" s="163">
        <f>EOMONTH(Q2,-3)</f>
        <v>45930</v>
      </c>
      <c r="T2" s="163">
        <f>S2</f>
        <v>45930</v>
      </c>
      <c r="U2" s="163">
        <f>EOMONTH(S2,-3)</f>
        <v>45838</v>
      </c>
      <c r="V2" s="163">
        <f>U2</f>
        <v>45838</v>
      </c>
      <c r="W2" s="163">
        <f>EOMONTH(V2,-3)</f>
        <v>45747</v>
      </c>
      <c r="X2" s="163"/>
      <c r="Y2" s="163">
        <v>45657</v>
      </c>
      <c r="Z2" s="163">
        <f>Y2</f>
        <v>45657</v>
      </c>
      <c r="AA2" s="163">
        <f>EOMONTH(Y2,-3)</f>
        <v>45565</v>
      </c>
      <c r="AB2" s="163">
        <f>AA2</f>
        <v>45565</v>
      </c>
      <c r="AC2" s="163">
        <f>EOMONTH(AA2,-3)</f>
        <v>45473</v>
      </c>
      <c r="AD2" s="163">
        <f>AC2</f>
        <v>45473</v>
      </c>
      <c r="AE2" s="163">
        <f>EOMONTH(AD2,-3)</f>
        <v>45382</v>
      </c>
      <c r="AF2" s="134"/>
      <c r="AG2" s="163">
        <v>45291</v>
      </c>
      <c r="AH2" s="163">
        <f>AG2</f>
        <v>45291</v>
      </c>
      <c r="AI2" s="163">
        <f>EOMONTH(AG2,-3)</f>
        <v>45199</v>
      </c>
      <c r="AJ2" s="163">
        <f>AI2</f>
        <v>45199</v>
      </c>
      <c r="AK2" s="163">
        <f>EOMONTH(AI2,-3)</f>
        <v>45107</v>
      </c>
      <c r="AL2" s="163">
        <f>AK2</f>
        <v>45107</v>
      </c>
      <c r="AM2" s="163">
        <f>EOMONTH(AL2,-3)</f>
        <v>45016</v>
      </c>
      <c r="AN2" s="134"/>
      <c r="AO2" s="163"/>
      <c r="AP2" s="163"/>
      <c r="AQ2" s="163"/>
      <c r="AR2" s="163"/>
      <c r="AS2" s="163"/>
      <c r="AT2" s="163"/>
      <c r="AU2" s="163"/>
    </row>
    <row r="3" spans="1:48" collapsed="1" x14ac:dyDescent="0.2">
      <c r="A3" s="3" t="s">
        <v>3</v>
      </c>
      <c r="B3" s="134"/>
      <c r="C3" s="134"/>
      <c r="D3" s="134"/>
      <c r="E3" s="134"/>
      <c r="F3" s="134"/>
      <c r="G3" s="161"/>
      <c r="H3" s="162"/>
      <c r="I3" s="134"/>
      <c r="J3" s="134"/>
      <c r="K3" s="161"/>
      <c r="L3" s="162"/>
      <c r="M3" s="162"/>
      <c r="N3" s="134"/>
      <c r="O3" s="161"/>
      <c r="P3" s="162"/>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row>
    <row r="4" spans="1:48" ht="17.399999999999999" x14ac:dyDescent="0.3">
      <c r="B4" s="89"/>
      <c r="C4" s="77" t="s">
        <v>210</v>
      </c>
      <c r="D4" s="89"/>
      <c r="E4" s="336">
        <f>DateRef</f>
        <v>46112</v>
      </c>
      <c r="F4" s="91"/>
      <c r="I4" s="90"/>
      <c r="J4" s="91"/>
      <c r="Q4" s="77" t="s">
        <v>185</v>
      </c>
    </row>
    <row r="5" spans="1:48" ht="26.25" customHeight="1" thickBot="1" x14ac:dyDescent="0.3">
      <c r="C5" s="4" t="s">
        <v>277</v>
      </c>
      <c r="D5" s="192"/>
      <c r="E5" s="193" t="str" cm="1">
        <f t="array" ref="E5">INDEX(TableYtd,MONTH(EOMONTH(DateRef,-12)),2)&amp;YEAR(DateRef)</f>
        <v>Q1 2026</v>
      </c>
      <c r="F5" s="193" t="str" cm="1">
        <f t="array" ref="F5">INDEX(TableYtd,MONTH(EOMONTH(DateRef,-12)),2)&amp;YEAR(EOMONTH(DateRef,-12))</f>
        <v>Q1 2025</v>
      </c>
      <c r="G5" s="195" t="s">
        <v>103</v>
      </c>
      <c r="H5" s="297"/>
      <c r="I5" s="5" t="str">
        <f>RIGHT(I$1,2)&amp;" "&amp;LEFT(I$1,4)</f>
        <v>Q1 2026</v>
      </c>
      <c r="J5" s="5" t="str">
        <f>RIGHT(J$1,2)&amp;" "&amp;LEFT(J$1,4)</f>
        <v>Q1 2025</v>
      </c>
      <c r="K5" s="33" t="s">
        <v>103</v>
      </c>
      <c r="L5" s="26"/>
      <c r="M5" s="26"/>
      <c r="N5" s="5" t="str">
        <f>RIGHT(N$1,2)&amp;" "&amp;LEFT(N$1,4)</f>
        <v>Q4 2025</v>
      </c>
      <c r="O5" s="33" t="s">
        <v>104</v>
      </c>
      <c r="P5" s="297"/>
      <c r="Q5" s="5" t="str" cm="1">
        <f t="array" ref="Q5">INDEX(TableYtd,MONTH(Q$2),2)&amp;YEAR(Q$2)</f>
        <v>FY 2025</v>
      </c>
      <c r="R5" s="5" t="str">
        <f>RIGHT(R$1,2)&amp;" "&amp;LEFT(R$1,4)</f>
        <v>Q4 2025</v>
      </c>
      <c r="S5" s="5" t="str" cm="1">
        <f t="array" ref="S5">INDEX(TableYtd,MONTH(S$2),2)&amp;YEAR(S$2)</f>
        <v>9M 2025</v>
      </c>
      <c r="T5" s="5" t="str">
        <f>RIGHT(T$1,2)&amp;" "&amp;LEFT(T$1,4)</f>
        <v>Q3 2025</v>
      </c>
      <c r="U5" s="5" t="s">
        <v>228</v>
      </c>
      <c r="V5" s="5" t="str">
        <f>RIGHT(V$1,2)&amp;" "&amp;LEFT(V$1,4)</f>
        <v>Q2 2025</v>
      </c>
      <c r="W5" s="5" t="str" cm="1">
        <f t="array" ref="W5">INDEX(TableYtd,MONTH(W$2),2)&amp;YEAR(W$2)</f>
        <v>Q1 2025</v>
      </c>
      <c r="X5" s="335"/>
      <c r="Y5" s="5" t="str" cm="1">
        <f t="array" ref="Y5">INDEX(TableYtd,MONTH(Y$2),2)&amp;YEAR(Y$2)</f>
        <v>FY 2024</v>
      </c>
      <c r="Z5" s="5" t="str">
        <f>RIGHT(Z$1,2)&amp;" "&amp;LEFT(Z$1,4)</f>
        <v>Q4 2024</v>
      </c>
      <c r="AA5" s="5" t="str" cm="1">
        <f t="array" ref="AA5">INDEX(TableYtd,MONTH(AA$2),2)&amp;YEAR(AA$2)</f>
        <v>9M 2024</v>
      </c>
      <c r="AB5" s="5" t="str">
        <f>RIGHT(AB$1,2)&amp;" "&amp;LEFT(AB$1,4)</f>
        <v>Q3 2024</v>
      </c>
      <c r="AC5" s="5" t="s">
        <v>229</v>
      </c>
      <c r="AD5" s="5" t="str">
        <f>RIGHT(AD$1,2)&amp;" "&amp;LEFT(AD$1,4)</f>
        <v>Q2 2024</v>
      </c>
      <c r="AE5" s="5" t="str">
        <f>RIGHT(AE$1,2)&amp;" "&amp;LEFT(AE$1,4)</f>
        <v>Q1 2024</v>
      </c>
      <c r="AF5" s="196"/>
      <c r="AG5" s="5" t="str" cm="1">
        <f t="array" ref="AG5">INDEX(TableYtd,MONTH(AG$2),2)&amp;YEAR(AG$2)</f>
        <v>FY 2023</v>
      </c>
      <c r="AH5" s="5" t="str">
        <f>RIGHT(AH$1,2)&amp;" "&amp;LEFT(AH$1,4)</f>
        <v>Q4 2023</v>
      </c>
      <c r="AI5" s="5" t="str" cm="1">
        <f t="array" ref="AI5">INDEX(TableYtd,MONTH(AI$2),2)&amp;YEAR(AI$2)</f>
        <v>9M 2023</v>
      </c>
      <c r="AJ5" s="5" t="str">
        <f>RIGHT(AJ$1,2)&amp;" "&amp;LEFT(AJ$1,4)</f>
        <v>Q3 2023</v>
      </c>
      <c r="AK5" s="5" t="str" cm="1">
        <f t="array" ref="AK5">INDEX(TableYtd,MONTH(AK$2),2)&amp;YEAR(AK$2)</f>
        <v>H1 2023</v>
      </c>
      <c r="AL5" s="5" t="str">
        <f>RIGHT(AL$1,2)&amp;" "&amp;LEFT(AL$1,4)</f>
        <v>Q2 2023</v>
      </c>
      <c r="AM5" s="5" t="str">
        <f>RIGHT(AM$1,2)&amp;" "&amp;LEFT(AM$1,4)</f>
        <v>Q1 2023</v>
      </c>
      <c r="AN5" s="196"/>
      <c r="AO5" s="335"/>
      <c r="AP5" s="335"/>
      <c r="AQ5" s="335"/>
      <c r="AR5" s="335"/>
      <c r="AS5" s="335"/>
      <c r="AT5" s="335"/>
      <c r="AU5" s="335"/>
      <c r="AV5" s="192"/>
    </row>
    <row r="6" spans="1:48" x14ac:dyDescent="0.2">
      <c r="A6" s="3" t="s">
        <v>22</v>
      </c>
      <c r="B6" s="49"/>
      <c r="C6" s="48" t="s">
        <v>148</v>
      </c>
      <c r="D6" s="245"/>
      <c r="E6" s="261">
        <v>781.9321668499997</v>
      </c>
      <c r="F6" s="261">
        <v>824.40058980000003</v>
      </c>
      <c r="G6" s="298">
        <f>IF(ISERROR($E6*F6),"NM",IF($E6*F6&gt;0,IF(E6/F6&gt;2,"NM",E6/F6-1),"NM"))</f>
        <v>-5.1514304423657897E-2</v>
      </c>
      <c r="H6" s="299"/>
      <c r="I6" s="839">
        <v>781.9321668499997</v>
      </c>
      <c r="J6" s="839">
        <v>824.40058980000003</v>
      </c>
      <c r="K6" s="840">
        <f t="shared" ref="K6:K12" si="0">IF(ISERROR($E6*J6),"NM",IF($E6*J6&gt;0,IF(I6/J6&gt;2,"NM",I6/J6-1),"NM"))</f>
        <v>-5.1514304423657897E-2</v>
      </c>
      <c r="L6" s="50"/>
      <c r="M6" s="50"/>
      <c r="N6" s="839">
        <v>763.46598908999977</v>
      </c>
      <c r="O6" s="840">
        <f t="shared" ref="O6:O21" si="1">IF(ISERROR($I6*N6),"NM",IF($I6*N6&gt;0,IF($I6/N6&gt;2,"NM",$I6/N6-1),"NM"))</f>
        <v>2.4187295863710156E-2</v>
      </c>
      <c r="P6" s="50"/>
      <c r="Q6" s="839">
        <v>3052.3792570699998</v>
      </c>
      <c r="R6" s="839">
        <v>763.46598908999977</v>
      </c>
      <c r="S6" s="839">
        <v>2288.91326798</v>
      </c>
      <c r="T6" s="839">
        <v>747.20128153999985</v>
      </c>
      <c r="U6" s="839">
        <v>1541.7119864400001</v>
      </c>
      <c r="V6" s="839">
        <v>717.31139664000011</v>
      </c>
      <c r="W6" s="839">
        <v>824.40058980000003</v>
      </c>
      <c r="X6" s="237"/>
      <c r="Y6" s="839">
        <v>3184.2955421800002</v>
      </c>
      <c r="Z6" s="839">
        <v>820.05104737000022</v>
      </c>
      <c r="AA6" s="839">
        <v>2364.2444948100001</v>
      </c>
      <c r="AB6" s="839">
        <v>804.50904794000053</v>
      </c>
      <c r="AC6" s="839">
        <v>1559.7354468699994</v>
      </c>
      <c r="AD6" s="839">
        <v>794.03961635999974</v>
      </c>
      <c r="AE6" s="839">
        <v>765.69583050999961</v>
      </c>
      <c r="AF6" s="192"/>
      <c r="AG6" s="839">
        <v>2940.0267460100004</v>
      </c>
      <c r="AH6" s="839">
        <v>722.77553338999974</v>
      </c>
      <c r="AI6" s="839">
        <v>2217.2512126200008</v>
      </c>
      <c r="AJ6" s="839">
        <v>736.52284366999936</v>
      </c>
      <c r="AK6" s="839">
        <v>1480.7283689500014</v>
      </c>
      <c r="AL6" s="839">
        <v>744.43705294000074</v>
      </c>
      <c r="AM6" s="839">
        <v>736.29131601000051</v>
      </c>
      <c r="AN6" s="192"/>
      <c r="AO6" s="320"/>
      <c r="AP6" s="320"/>
      <c r="AQ6" s="320"/>
      <c r="AR6" s="320"/>
      <c r="AS6" s="320"/>
      <c r="AT6" s="320"/>
      <c r="AU6" s="320"/>
      <c r="AV6" s="192"/>
    </row>
    <row r="7" spans="1:48" x14ac:dyDescent="0.2">
      <c r="A7" s="3" t="s">
        <v>23</v>
      </c>
      <c r="B7" s="49"/>
      <c r="C7" s="51" t="s">
        <v>67</v>
      </c>
      <c r="D7" s="245"/>
      <c r="E7" s="262">
        <v>86.56959947</v>
      </c>
      <c r="F7" s="262">
        <v>22.887537139999999</v>
      </c>
      <c r="G7" s="300" t="str">
        <f t="shared" ref="G7:G67" si="2">IF(ISERROR($E7*F7),"NM",IF($E7*F7&gt;0,IF(E7/F7&gt;2,"NM",E7/F7-1),"NM"))</f>
        <v>NM</v>
      </c>
      <c r="H7" s="299"/>
      <c r="I7" s="52">
        <v>86.56959947</v>
      </c>
      <c r="J7" s="52">
        <v>22.887537139999999</v>
      </c>
      <c r="K7" s="53" t="str">
        <f t="shared" si="0"/>
        <v>NM</v>
      </c>
      <c r="L7" s="50"/>
      <c r="M7" s="50"/>
      <c r="N7" s="52">
        <v>82.27364962</v>
      </c>
      <c r="O7" s="840">
        <f t="shared" si="1"/>
        <v>5.2215379648792082E-2</v>
      </c>
      <c r="P7" s="50"/>
      <c r="Q7" s="52">
        <v>173.14761414999998</v>
      </c>
      <c r="R7" s="52">
        <v>82.27364962</v>
      </c>
      <c r="S7" s="52">
        <v>90.873964529999995</v>
      </c>
      <c r="T7" s="52">
        <v>33.198177129999998</v>
      </c>
      <c r="U7" s="839">
        <v>57.675787400000004</v>
      </c>
      <c r="V7" s="52">
        <v>34.788250260000005</v>
      </c>
      <c r="W7" s="52">
        <v>22.887537139999999</v>
      </c>
      <c r="X7" s="237"/>
      <c r="Y7" s="52">
        <v>144.68957838999998</v>
      </c>
      <c r="Z7" s="52">
        <v>57.183351219999977</v>
      </c>
      <c r="AA7" s="52">
        <v>87.506227170000003</v>
      </c>
      <c r="AB7" s="52">
        <v>20.378085539999987</v>
      </c>
      <c r="AC7" s="52">
        <v>67.128141630000016</v>
      </c>
      <c r="AD7" s="52">
        <v>49.620859790000011</v>
      </c>
      <c r="AE7" s="52">
        <v>17.507281840000005</v>
      </c>
      <c r="AF7" s="192"/>
      <c r="AG7" s="52">
        <v>123.39406031999999</v>
      </c>
      <c r="AH7" s="52">
        <v>34.128891799999963</v>
      </c>
      <c r="AI7" s="52">
        <v>89.265168520000032</v>
      </c>
      <c r="AJ7" s="52">
        <v>10.329344820000031</v>
      </c>
      <c r="AK7" s="52">
        <v>78.9358237</v>
      </c>
      <c r="AL7" s="52">
        <v>50.554393719999993</v>
      </c>
      <c r="AM7" s="52">
        <v>28.381429980000007</v>
      </c>
      <c r="AN7" s="192"/>
      <c r="AO7" s="320"/>
      <c r="AP7" s="320"/>
      <c r="AQ7" s="320"/>
      <c r="AR7" s="320"/>
      <c r="AS7" s="320"/>
      <c r="AT7" s="320"/>
      <c r="AU7" s="320"/>
      <c r="AV7" s="192"/>
    </row>
    <row r="8" spans="1:48" hidden="1" x14ac:dyDescent="0.2">
      <c r="A8" s="3" t="s">
        <v>24</v>
      </c>
      <c r="B8" s="49"/>
      <c r="C8" s="92" t="s">
        <v>68</v>
      </c>
      <c r="D8" s="245"/>
      <c r="E8" s="263">
        <v>86.56959947</v>
      </c>
      <c r="F8" s="263">
        <v>22.887537139999999</v>
      </c>
      <c r="G8" s="301" t="str">
        <f t="shared" si="2"/>
        <v>NM</v>
      </c>
      <c r="H8" s="299"/>
      <c r="I8" s="841">
        <v>86.56959947</v>
      </c>
      <c r="J8" s="841">
        <v>22.887537139999999</v>
      </c>
      <c r="K8" s="842" t="str">
        <f t="shared" si="0"/>
        <v>NM</v>
      </c>
      <c r="L8" s="50"/>
      <c r="M8" s="50"/>
      <c r="N8" s="841">
        <v>82.27364962</v>
      </c>
      <c r="O8" s="840">
        <f t="shared" si="1"/>
        <v>5.2215379648792082E-2</v>
      </c>
      <c r="P8" s="50"/>
      <c r="Q8" s="841">
        <v>173.14761414999998</v>
      </c>
      <c r="R8" s="841">
        <v>82.27364962</v>
      </c>
      <c r="S8" s="841">
        <v>90.873964529999995</v>
      </c>
      <c r="T8" s="841">
        <v>33.198177129999998</v>
      </c>
      <c r="U8" s="839">
        <v>57.675787400000004</v>
      </c>
      <c r="V8" s="841">
        <v>34.788250260000005</v>
      </c>
      <c r="W8" s="841">
        <v>22.887537139999999</v>
      </c>
      <c r="X8" s="237"/>
      <c r="Y8" s="841">
        <v>144.68957838999998</v>
      </c>
      <c r="Z8" s="841">
        <v>57.183351219999977</v>
      </c>
      <c r="AA8" s="841">
        <v>87.506227170000003</v>
      </c>
      <c r="AB8" s="841">
        <v>20.378085539999987</v>
      </c>
      <c r="AC8" s="841">
        <v>67.128141630000016</v>
      </c>
      <c r="AD8" s="841">
        <v>49.620859790000011</v>
      </c>
      <c r="AE8" s="841">
        <v>17.507281840000005</v>
      </c>
      <c r="AF8" s="192"/>
      <c r="AG8" s="841">
        <v>123.39406031999999</v>
      </c>
      <c r="AH8" s="841">
        <v>34.128891799999963</v>
      </c>
      <c r="AI8" s="841">
        <v>89.265168520000032</v>
      </c>
      <c r="AJ8" s="841">
        <v>10.329344820000031</v>
      </c>
      <c r="AK8" s="841">
        <v>78.9358237</v>
      </c>
      <c r="AL8" s="841">
        <v>50.554393719999993</v>
      </c>
      <c r="AM8" s="841">
        <v>28.381429980000007</v>
      </c>
      <c r="AN8" s="192"/>
      <c r="AO8" s="320"/>
      <c r="AP8" s="320"/>
      <c r="AQ8" s="320"/>
      <c r="AR8" s="320"/>
      <c r="AS8" s="320"/>
      <c r="AT8" s="320"/>
      <c r="AU8" s="320"/>
      <c r="AV8" s="192"/>
    </row>
    <row r="9" spans="1:48" x14ac:dyDescent="0.2">
      <c r="A9" s="3" t="s">
        <v>25</v>
      </c>
      <c r="B9" s="49"/>
      <c r="C9" s="54" t="s">
        <v>69</v>
      </c>
      <c r="D9" s="245"/>
      <c r="E9" s="262">
        <v>868.50176631999966</v>
      </c>
      <c r="F9" s="262">
        <v>847.28812693999998</v>
      </c>
      <c r="G9" s="300">
        <f t="shared" si="2"/>
        <v>2.5037102144477297E-2</v>
      </c>
      <c r="H9" s="299"/>
      <c r="I9" s="52">
        <v>868.50176631999966</v>
      </c>
      <c r="J9" s="52">
        <v>847.28812693999998</v>
      </c>
      <c r="K9" s="53">
        <f t="shared" si="0"/>
        <v>2.5037102144477297E-2</v>
      </c>
      <c r="L9" s="50"/>
      <c r="M9" s="50"/>
      <c r="N9" s="52">
        <v>845.73963870999978</v>
      </c>
      <c r="O9" s="840">
        <f t="shared" si="1"/>
        <v>2.6913871087701047E-2</v>
      </c>
      <c r="P9" s="50"/>
      <c r="Q9" s="52">
        <v>3225.5268712199995</v>
      </c>
      <c r="R9" s="52">
        <v>845.73963870999978</v>
      </c>
      <c r="S9" s="52">
        <v>2379.7872325099997</v>
      </c>
      <c r="T9" s="52">
        <v>780.39945866999983</v>
      </c>
      <c r="U9" s="839">
        <v>1599.3877738400001</v>
      </c>
      <c r="V9" s="52">
        <v>752.09964690000015</v>
      </c>
      <c r="W9" s="52">
        <v>847.28812693999998</v>
      </c>
      <c r="X9" s="237"/>
      <c r="Y9" s="52">
        <v>3328.9851205700002</v>
      </c>
      <c r="Z9" s="52">
        <v>877.23439859000018</v>
      </c>
      <c r="AA9" s="52">
        <v>2451.75072198</v>
      </c>
      <c r="AB9" s="52">
        <v>824.88713348000056</v>
      </c>
      <c r="AC9" s="52">
        <v>1626.8635884999994</v>
      </c>
      <c r="AD9" s="52">
        <v>843.66047614999979</v>
      </c>
      <c r="AE9" s="52">
        <v>783.20311234999963</v>
      </c>
      <c r="AF9" s="192"/>
      <c r="AG9" s="52">
        <v>3063.4208063300002</v>
      </c>
      <c r="AH9" s="52">
        <v>756.90442518999976</v>
      </c>
      <c r="AI9" s="52">
        <v>2306.5163811400007</v>
      </c>
      <c r="AJ9" s="52">
        <v>746.85218848999943</v>
      </c>
      <c r="AK9" s="52">
        <v>1559.6641926500013</v>
      </c>
      <c r="AL9" s="52">
        <v>794.99144666000075</v>
      </c>
      <c r="AM9" s="52">
        <v>764.67274599000052</v>
      </c>
      <c r="AN9" s="192"/>
      <c r="AO9" s="320"/>
      <c r="AP9" s="320"/>
      <c r="AQ9" s="320"/>
      <c r="AR9" s="320"/>
      <c r="AS9" s="320"/>
      <c r="AT9" s="320"/>
      <c r="AU9" s="320"/>
      <c r="AV9" s="192"/>
    </row>
    <row r="10" spans="1:48" hidden="1" x14ac:dyDescent="0.2">
      <c r="A10" s="3" t="s">
        <v>26</v>
      </c>
      <c r="B10" s="49"/>
      <c r="C10" s="84" t="s">
        <v>70</v>
      </c>
      <c r="D10" s="245"/>
      <c r="E10" s="263">
        <v>868.50176631999966</v>
      </c>
      <c r="F10" s="263">
        <v>847.28812693999998</v>
      </c>
      <c r="G10" s="301">
        <f t="shared" si="2"/>
        <v>2.5037102144477297E-2</v>
      </c>
      <c r="H10" s="299"/>
      <c r="I10" s="841">
        <v>868.50176631999966</v>
      </c>
      <c r="J10" s="841">
        <v>847.28812693999998</v>
      </c>
      <c r="K10" s="842">
        <f t="shared" si="0"/>
        <v>2.5037102144477297E-2</v>
      </c>
      <c r="L10" s="50"/>
      <c r="M10" s="50"/>
      <c r="N10" s="841">
        <v>845.73963870999978</v>
      </c>
      <c r="O10" s="840">
        <f t="shared" si="1"/>
        <v>2.6913871087701047E-2</v>
      </c>
      <c r="P10" s="50"/>
      <c r="Q10" s="841">
        <v>3225.5268712199995</v>
      </c>
      <c r="R10" s="841">
        <v>845.73963870999978</v>
      </c>
      <c r="S10" s="841">
        <v>2379.7872325099997</v>
      </c>
      <c r="T10" s="841">
        <v>780.39945866999983</v>
      </c>
      <c r="U10" s="839">
        <v>1599.3877738400001</v>
      </c>
      <c r="V10" s="841">
        <v>752.09964690000015</v>
      </c>
      <c r="W10" s="841">
        <v>847.28812693999998</v>
      </c>
      <c r="X10" s="237"/>
      <c r="Y10" s="841">
        <v>3328.9851205700002</v>
      </c>
      <c r="Z10" s="841">
        <v>877.23439859000018</v>
      </c>
      <c r="AA10" s="841">
        <v>2451.75072198</v>
      </c>
      <c r="AB10" s="841">
        <v>824.88713348000056</v>
      </c>
      <c r="AC10" s="841">
        <v>1626.8635884999994</v>
      </c>
      <c r="AD10" s="841">
        <v>843.66047614999979</v>
      </c>
      <c r="AE10" s="841">
        <v>783.20311234999963</v>
      </c>
      <c r="AF10" s="192"/>
      <c r="AG10" s="841">
        <v>3063.4208063300002</v>
      </c>
      <c r="AH10" s="841">
        <v>756.90442518999976</v>
      </c>
      <c r="AI10" s="841">
        <v>2306.5163811400007</v>
      </c>
      <c r="AJ10" s="841">
        <v>746.85218848999943</v>
      </c>
      <c r="AK10" s="841">
        <v>1559.6641926500013</v>
      </c>
      <c r="AL10" s="841">
        <v>794.99144666000075</v>
      </c>
      <c r="AM10" s="841">
        <v>764.67274599000052</v>
      </c>
      <c r="AN10" s="192"/>
      <c r="AO10" s="320"/>
      <c r="AP10" s="320"/>
      <c r="AQ10" s="320"/>
      <c r="AR10" s="320"/>
      <c r="AS10" s="320"/>
      <c r="AT10" s="320"/>
      <c r="AU10" s="320"/>
      <c r="AV10" s="192"/>
    </row>
    <row r="11" spans="1:48" x14ac:dyDescent="0.2">
      <c r="A11" s="3" t="s">
        <v>27</v>
      </c>
      <c r="B11" s="49"/>
      <c r="C11" s="54" t="s">
        <v>199</v>
      </c>
      <c r="D11" s="245"/>
      <c r="E11" s="262">
        <v>30.960137049999993</v>
      </c>
      <c r="F11" s="262">
        <v>25.65956640000001</v>
      </c>
      <c r="G11" s="300">
        <f t="shared" si="2"/>
        <v>0.20657288464547019</v>
      </c>
      <c r="H11" s="299"/>
      <c r="I11" s="52">
        <v>30.960137049999993</v>
      </c>
      <c r="J11" s="52">
        <v>25.65956640000001</v>
      </c>
      <c r="K11" s="53">
        <f t="shared" si="0"/>
        <v>0.20657288464547019</v>
      </c>
      <c r="L11" s="50"/>
      <c r="M11" s="50"/>
      <c r="N11" s="52">
        <v>35.473510650000009</v>
      </c>
      <c r="O11" s="840">
        <f t="shared" si="1"/>
        <v>-0.12723222250346999</v>
      </c>
      <c r="P11" s="50"/>
      <c r="Q11" s="52">
        <v>116.10364935000001</v>
      </c>
      <c r="R11" s="52">
        <v>35.473510650000009</v>
      </c>
      <c r="S11" s="52">
        <v>80.630138700000003</v>
      </c>
      <c r="T11" s="52">
        <v>29.121314640000001</v>
      </c>
      <c r="U11" s="839">
        <v>51.508824059999995</v>
      </c>
      <c r="V11" s="52">
        <v>25.849257659999989</v>
      </c>
      <c r="W11" s="52">
        <v>25.65956640000001</v>
      </c>
      <c r="X11" s="237"/>
      <c r="Y11" s="52">
        <v>80.168684900000031</v>
      </c>
      <c r="Z11" s="52">
        <v>25.853562070000084</v>
      </c>
      <c r="AA11" s="52">
        <v>54.31512282999995</v>
      </c>
      <c r="AB11" s="52">
        <v>19.503094319999999</v>
      </c>
      <c r="AC11" s="52">
        <v>34.812028509999948</v>
      </c>
      <c r="AD11" s="52">
        <v>17.257334369999956</v>
      </c>
      <c r="AE11" s="52">
        <v>17.554694139999992</v>
      </c>
      <c r="AF11" s="192"/>
      <c r="AG11" s="52">
        <v>59.933046119999972</v>
      </c>
      <c r="AH11" s="52">
        <v>17.575384759999984</v>
      </c>
      <c r="AI11" s="52">
        <v>42.357661359999987</v>
      </c>
      <c r="AJ11" s="52">
        <v>13.751170089999992</v>
      </c>
      <c r="AK11" s="52">
        <v>28.606491269999996</v>
      </c>
      <c r="AL11" s="52">
        <v>15.671642119999991</v>
      </c>
      <c r="AM11" s="52">
        <v>12.934849150000005</v>
      </c>
      <c r="AN11" s="192"/>
      <c r="AO11" s="320"/>
      <c r="AP11" s="320"/>
      <c r="AQ11" s="320"/>
      <c r="AR11" s="320"/>
      <c r="AS11" s="320"/>
      <c r="AT11" s="320"/>
      <c r="AU11" s="320"/>
      <c r="AV11" s="192"/>
    </row>
    <row r="12" spans="1:48" ht="12" x14ac:dyDescent="0.25">
      <c r="A12" s="3" t="s">
        <v>28</v>
      </c>
      <c r="B12" s="86"/>
      <c r="C12" s="85" t="s">
        <v>197</v>
      </c>
      <c r="D12" s="246"/>
      <c r="E12" s="264">
        <v>-85.215214260000025</v>
      </c>
      <c r="F12" s="264">
        <v>19.468334319999983</v>
      </c>
      <c r="G12" s="302" t="str">
        <f>IF(ISERROR($E12*F12),"NM",IF($E12*F12&gt;0,IF(E12/F12&gt;2,"NM",E12/F12-1),"NM"))</f>
        <v>NM</v>
      </c>
      <c r="H12" s="303"/>
      <c r="I12" s="843">
        <v>-85.215214260000025</v>
      </c>
      <c r="J12" s="843">
        <v>19.468334319999983</v>
      </c>
      <c r="K12" s="844" t="str">
        <f t="shared" si="0"/>
        <v>NM</v>
      </c>
      <c r="L12" s="87"/>
      <c r="M12" s="87"/>
      <c r="N12" s="843">
        <v>2.083693689999679</v>
      </c>
      <c r="O12" s="885" t="str">
        <f t="shared" si="1"/>
        <v>NM</v>
      </c>
      <c r="P12" s="87"/>
      <c r="Q12" s="843">
        <v>4.5002319999694507E-2</v>
      </c>
      <c r="R12" s="843">
        <v>2.083693689999679</v>
      </c>
      <c r="S12" s="843">
        <v>-2.0386913699999845</v>
      </c>
      <c r="T12" s="843">
        <v>-14.100910229999785</v>
      </c>
      <c r="U12" s="839">
        <v>12.062218859999801</v>
      </c>
      <c r="V12" s="843">
        <v>-7.4061154600001817</v>
      </c>
      <c r="W12" s="843">
        <v>19.468334319999983</v>
      </c>
      <c r="X12" s="254"/>
      <c r="Y12" s="843">
        <v>-3.3007283699996179</v>
      </c>
      <c r="Z12" s="843">
        <v>-2.4439827399995977</v>
      </c>
      <c r="AA12" s="843">
        <v>-0.85674563000002024</v>
      </c>
      <c r="AB12" s="843">
        <v>-6.3697731700000588</v>
      </c>
      <c r="AC12" s="843">
        <v>5.5130275400000386</v>
      </c>
      <c r="AD12" s="843">
        <v>2.6084629300000444</v>
      </c>
      <c r="AE12" s="843">
        <v>2.9045646099999942</v>
      </c>
      <c r="AF12" s="247"/>
      <c r="AG12" s="843">
        <v>-1.1449145499993989</v>
      </c>
      <c r="AH12" s="843">
        <v>11.592107020000498</v>
      </c>
      <c r="AI12" s="843">
        <v>-12.737021569999882</v>
      </c>
      <c r="AJ12" s="843">
        <v>-0.98013288999986869</v>
      </c>
      <c r="AK12" s="843">
        <v>-11.756888680000017</v>
      </c>
      <c r="AL12" s="843">
        <v>-7.6268880399999652</v>
      </c>
      <c r="AM12" s="843">
        <v>-4.130000640000052</v>
      </c>
      <c r="AN12" s="247"/>
      <c r="AO12" s="374"/>
      <c r="AP12" s="374"/>
      <c r="AQ12" s="374"/>
      <c r="AR12" s="374"/>
      <c r="AS12" s="374"/>
      <c r="AT12" s="374"/>
      <c r="AU12" s="374"/>
      <c r="AV12" s="192"/>
    </row>
    <row r="13" spans="1:48" ht="12" x14ac:dyDescent="0.25">
      <c r="A13" s="3" t="s">
        <v>29</v>
      </c>
      <c r="B13" s="86"/>
      <c r="C13" s="88" t="s">
        <v>198</v>
      </c>
      <c r="D13" s="246"/>
      <c r="E13" s="265">
        <v>2.9984333399999672</v>
      </c>
      <c r="F13" s="265">
        <v>39.257637030000005</v>
      </c>
      <c r="G13" s="304">
        <f t="shared" si="2"/>
        <v>-0.9236216551263996</v>
      </c>
      <c r="H13" s="303"/>
      <c r="I13" s="845">
        <v>2.9984333399999672</v>
      </c>
      <c r="J13" s="845">
        <v>39.257637030000005</v>
      </c>
      <c r="K13" s="846">
        <f t="shared" ref="K13:K45" si="3">IF(ISERROR($E13*J13),"NM",IF($E13*J13&gt;0,IF(I13/J13&gt;2,"NM",I13/J13-1),"NM"))</f>
        <v>-0.9236216551263996</v>
      </c>
      <c r="L13" s="87"/>
      <c r="M13" s="87"/>
      <c r="N13" s="845">
        <v>18.027372289999754</v>
      </c>
      <c r="O13" s="846">
        <f t="shared" si="1"/>
        <v>-0.83367330014794916</v>
      </c>
      <c r="P13" s="87"/>
      <c r="Q13" s="845">
        <v>75.419242919999803</v>
      </c>
      <c r="R13" s="845">
        <v>18.027372289999754</v>
      </c>
      <c r="S13" s="845">
        <v>57.391870630000042</v>
      </c>
      <c r="T13" s="845">
        <v>5.723428770000214</v>
      </c>
      <c r="U13" s="845">
        <v>51.668441859999831</v>
      </c>
      <c r="V13" s="845">
        <v>12.410804829999829</v>
      </c>
      <c r="W13" s="845">
        <v>39.257637030000005</v>
      </c>
      <c r="X13" s="254"/>
      <c r="Y13" s="845">
        <v>88.332199090000387</v>
      </c>
      <c r="Z13" s="845">
        <v>21.320612443333733</v>
      </c>
      <c r="AA13" s="845">
        <v>67.011586646666643</v>
      </c>
      <c r="AB13" s="845">
        <v>17.378506116666607</v>
      </c>
      <c r="AC13" s="845">
        <v>49.633080530000036</v>
      </c>
      <c r="AD13" s="845">
        <v>26.331493220000041</v>
      </c>
      <c r="AE13" s="845">
        <v>23.301587309999995</v>
      </c>
      <c r="AF13" s="247"/>
      <c r="AG13" s="845">
        <v>80.499127680000598</v>
      </c>
      <c r="AH13" s="845">
        <v>31.995822830000492</v>
      </c>
      <c r="AI13" s="845">
        <v>48.503304850000127</v>
      </c>
      <c r="AJ13" s="845">
        <v>19.430706200000134</v>
      </c>
      <c r="AK13" s="845">
        <v>29.072598649999989</v>
      </c>
      <c r="AL13" s="845">
        <v>12.787495090000036</v>
      </c>
      <c r="AM13" s="845">
        <v>16.28510355999995</v>
      </c>
      <c r="AN13" s="247"/>
      <c r="AO13" s="374"/>
      <c r="AP13" s="374"/>
      <c r="AQ13" s="374"/>
      <c r="AR13" s="374"/>
      <c r="AS13" s="374"/>
      <c r="AT13" s="374"/>
      <c r="AU13" s="374"/>
      <c r="AV13" s="192"/>
    </row>
    <row r="14" spans="1:48" ht="12" x14ac:dyDescent="0.25">
      <c r="A14" s="3" t="s">
        <v>30</v>
      </c>
      <c r="C14" s="7" t="s">
        <v>72</v>
      </c>
      <c r="D14" s="192"/>
      <c r="E14" s="266">
        <v>814.24668910999981</v>
      </c>
      <c r="F14" s="266">
        <v>892.41602765999994</v>
      </c>
      <c r="G14" s="305">
        <f t="shared" si="2"/>
        <v>-8.7592934379459364E-2</v>
      </c>
      <c r="H14" s="306"/>
      <c r="I14" s="14">
        <v>814.24668910999981</v>
      </c>
      <c r="J14" s="14">
        <v>892.41602765999994</v>
      </c>
      <c r="K14" s="11">
        <f t="shared" si="3"/>
        <v>-8.7592934379459364E-2</v>
      </c>
      <c r="L14" s="27"/>
      <c r="M14" s="27"/>
      <c r="N14" s="14">
        <v>883.29684304999955</v>
      </c>
      <c r="O14" s="11">
        <f t="shared" si="1"/>
        <v>-7.8173214908785926E-2</v>
      </c>
      <c r="P14" s="27"/>
      <c r="Q14" s="14">
        <v>3341.6755228899997</v>
      </c>
      <c r="R14" s="14">
        <v>883.29684304999955</v>
      </c>
      <c r="S14" s="14">
        <v>2458.3786798400001</v>
      </c>
      <c r="T14" s="14">
        <v>795.41986308000003</v>
      </c>
      <c r="U14" s="14">
        <v>1662.95881676</v>
      </c>
      <c r="V14" s="14">
        <v>770.54278910000016</v>
      </c>
      <c r="W14" s="14">
        <v>892.41602765999994</v>
      </c>
      <c r="X14" s="238"/>
      <c r="Y14" s="14">
        <v>3405.853077100001</v>
      </c>
      <c r="Z14" s="14">
        <v>900.64397792000068</v>
      </c>
      <c r="AA14" s="14">
        <v>2505.2090991799996</v>
      </c>
      <c r="AB14" s="14">
        <v>838.02045463000047</v>
      </c>
      <c r="AC14" s="14">
        <v>1667.1886445499993</v>
      </c>
      <c r="AD14" s="14">
        <v>863.52627344999985</v>
      </c>
      <c r="AE14" s="14">
        <v>803.66237109999963</v>
      </c>
      <c r="AF14" s="192"/>
      <c r="AG14" s="14">
        <v>3122.2089379000004</v>
      </c>
      <c r="AH14" s="14">
        <v>786.0719169700003</v>
      </c>
      <c r="AI14" s="14">
        <v>2336.1370209300007</v>
      </c>
      <c r="AJ14" s="14">
        <v>759.62322568999957</v>
      </c>
      <c r="AK14" s="14">
        <v>1576.5137952400014</v>
      </c>
      <c r="AL14" s="14">
        <v>803.03620074000082</v>
      </c>
      <c r="AM14" s="14">
        <v>773.47759450000046</v>
      </c>
      <c r="AN14" s="192"/>
      <c r="AO14" s="358"/>
      <c r="AP14" s="358"/>
      <c r="AQ14" s="358"/>
      <c r="AR14" s="358"/>
      <c r="AS14" s="358"/>
      <c r="AT14" s="358"/>
      <c r="AU14" s="358"/>
      <c r="AV14" s="192"/>
    </row>
    <row r="15" spans="1:48" ht="12" x14ac:dyDescent="0.25">
      <c r="A15" s="3" t="s">
        <v>31</v>
      </c>
      <c r="C15" s="8" t="s">
        <v>73</v>
      </c>
      <c r="D15" s="192"/>
      <c r="E15" s="267">
        <v>902.46033670999964</v>
      </c>
      <c r="F15" s="267">
        <v>912.20533036999996</v>
      </c>
      <c r="G15" s="307">
        <f t="shared" si="2"/>
        <v>-1.068289488732499E-2</v>
      </c>
      <c r="H15" s="306"/>
      <c r="I15" s="847">
        <v>902.46033670999964</v>
      </c>
      <c r="J15" s="847">
        <v>912.20533036999996</v>
      </c>
      <c r="K15" s="848">
        <f t="shared" si="3"/>
        <v>-1.068289488732499E-2</v>
      </c>
      <c r="L15" s="27"/>
      <c r="M15" s="27"/>
      <c r="N15" s="847">
        <v>899.24052164999955</v>
      </c>
      <c r="O15" s="848">
        <f t="shared" si="1"/>
        <v>3.5805938261013193E-3</v>
      </c>
      <c r="P15" s="27"/>
      <c r="Q15" s="847">
        <v>3417.0497634899993</v>
      </c>
      <c r="R15" s="847">
        <v>899.24052164999955</v>
      </c>
      <c r="S15" s="847">
        <v>2517.8092418400001</v>
      </c>
      <c r="T15" s="847">
        <v>815.24420208000015</v>
      </c>
      <c r="U15" s="847">
        <v>1702.56503976</v>
      </c>
      <c r="V15" s="847">
        <v>790.35970939000003</v>
      </c>
      <c r="W15" s="847">
        <v>912.20533036999996</v>
      </c>
      <c r="X15" s="238"/>
      <c r="Y15" s="847">
        <v>3497.4860045600008</v>
      </c>
      <c r="Z15" s="847">
        <v>924.40857310333399</v>
      </c>
      <c r="AA15" s="847">
        <v>2573.0774314566661</v>
      </c>
      <c r="AB15" s="847">
        <v>861.76873391666709</v>
      </c>
      <c r="AC15" s="847">
        <v>1711.3086975399992</v>
      </c>
      <c r="AD15" s="847">
        <v>887.24930373999985</v>
      </c>
      <c r="AE15" s="847">
        <v>824.05939379999961</v>
      </c>
      <c r="AF15" s="192"/>
      <c r="AG15" s="847">
        <v>3203.8529801300006</v>
      </c>
      <c r="AH15" s="847">
        <v>806.4756327800003</v>
      </c>
      <c r="AI15" s="847">
        <v>2397.3773473500009</v>
      </c>
      <c r="AJ15" s="847">
        <v>780.03406477999954</v>
      </c>
      <c r="AK15" s="847">
        <v>1617.3432825700015</v>
      </c>
      <c r="AL15" s="847">
        <v>823.45058387000086</v>
      </c>
      <c r="AM15" s="847">
        <v>793.89269870000044</v>
      </c>
      <c r="AN15" s="192"/>
      <c r="AO15" s="358"/>
      <c r="AP15" s="358"/>
      <c r="AQ15" s="358"/>
      <c r="AR15" s="358"/>
      <c r="AS15" s="358"/>
      <c r="AT15" s="358"/>
      <c r="AU15" s="358"/>
      <c r="AV15" s="192"/>
    </row>
    <row r="16" spans="1:48" ht="12" hidden="1" x14ac:dyDescent="0.25">
      <c r="A16" s="3" t="s">
        <v>32</v>
      </c>
      <c r="C16" s="93" t="s">
        <v>74</v>
      </c>
      <c r="D16" s="192"/>
      <c r="E16" s="268">
        <v>902.46033670999964</v>
      </c>
      <c r="F16" s="268">
        <v>912.20533036999996</v>
      </c>
      <c r="G16" s="308">
        <f t="shared" si="2"/>
        <v>-1.068289488732499E-2</v>
      </c>
      <c r="H16" s="306"/>
      <c r="I16" s="849">
        <v>902.46033670999964</v>
      </c>
      <c r="J16" s="849">
        <v>912.20533036999996</v>
      </c>
      <c r="K16" s="850">
        <f t="shared" si="3"/>
        <v>-1.068289488732499E-2</v>
      </c>
      <c r="L16" s="27"/>
      <c r="M16" s="27"/>
      <c r="N16" s="849">
        <v>899.24052164999955</v>
      </c>
      <c r="O16" s="850">
        <f t="shared" si="1"/>
        <v>3.5805938261013193E-3</v>
      </c>
      <c r="P16" s="27"/>
      <c r="Q16" s="849">
        <v>3417.0497634899993</v>
      </c>
      <c r="R16" s="849">
        <v>899.24052164999955</v>
      </c>
      <c r="S16" s="849">
        <v>2517.8092418400001</v>
      </c>
      <c r="T16" s="849">
        <v>815.24420208000015</v>
      </c>
      <c r="U16" s="839">
        <v>1702.56503976</v>
      </c>
      <c r="V16" s="849">
        <v>790.35970939000003</v>
      </c>
      <c r="W16" s="849">
        <v>912.20533036999996</v>
      </c>
      <c r="X16" s="238"/>
      <c r="Y16" s="849">
        <v>3497.4860045600008</v>
      </c>
      <c r="Z16" s="849">
        <v>924.40857310333399</v>
      </c>
      <c r="AA16" s="849">
        <v>2573.0774314566661</v>
      </c>
      <c r="AB16" s="849">
        <v>861.76873391666709</v>
      </c>
      <c r="AC16" s="849">
        <v>1711.3086975399992</v>
      </c>
      <c r="AD16" s="849">
        <v>887.24930373999985</v>
      </c>
      <c r="AE16" s="849">
        <v>824.05939379999961</v>
      </c>
      <c r="AF16" s="192"/>
      <c r="AG16" s="849">
        <v>3203.8529801300006</v>
      </c>
      <c r="AH16" s="849">
        <v>806.4756327800003</v>
      </c>
      <c r="AI16" s="849">
        <v>2397.3773473500009</v>
      </c>
      <c r="AJ16" s="849">
        <v>780.03406477999954</v>
      </c>
      <c r="AK16" s="849">
        <v>1617.3432825700015</v>
      </c>
      <c r="AL16" s="849">
        <v>823.45058387000086</v>
      </c>
      <c r="AM16" s="849">
        <v>793.89269870000044</v>
      </c>
      <c r="AN16" s="192"/>
      <c r="AO16" s="358"/>
      <c r="AP16" s="358"/>
      <c r="AQ16" s="358"/>
      <c r="AR16" s="358"/>
      <c r="AS16" s="358"/>
      <c r="AT16" s="358"/>
      <c r="AU16" s="358"/>
      <c r="AV16" s="192"/>
    </row>
    <row r="17" spans="1:48" x14ac:dyDescent="0.2">
      <c r="A17" s="3" t="s">
        <v>33</v>
      </c>
      <c r="B17" s="49"/>
      <c r="C17" s="54" t="s">
        <v>182</v>
      </c>
      <c r="D17" s="245"/>
      <c r="E17" s="262">
        <v>-300.97479078999993</v>
      </c>
      <c r="F17" s="262">
        <v>-323.57410689</v>
      </c>
      <c r="G17" s="300">
        <f>IF(ISERROR($E17*F17),"NM",IF($E17*F17&gt;0,IF(E17/F17&gt;2,"NM",E17/F17-1),"NM"))</f>
        <v>-6.9842782901299194E-2</v>
      </c>
      <c r="H17" s="299"/>
      <c r="I17" s="52">
        <v>-300.97479078999993</v>
      </c>
      <c r="J17" s="52">
        <v>-323.57410689</v>
      </c>
      <c r="K17" s="53">
        <f t="shared" si="3"/>
        <v>-6.9842782901299194E-2</v>
      </c>
      <c r="L17" s="50"/>
      <c r="M17" s="50"/>
      <c r="N17" s="52">
        <v>-300.97456778000003</v>
      </c>
      <c r="O17" s="53">
        <f t="shared" si="1"/>
        <v>7.409596149976494E-7</v>
      </c>
      <c r="P17" s="50"/>
      <c r="Q17" s="52">
        <v>-1202.59975936</v>
      </c>
      <c r="R17" s="52">
        <v>-300.97456778000003</v>
      </c>
      <c r="S17" s="52">
        <v>-901.62519157999986</v>
      </c>
      <c r="T17" s="52">
        <v>-306.52606936999996</v>
      </c>
      <c r="U17" s="839">
        <v>-595.0991222099999</v>
      </c>
      <c r="V17" s="52">
        <v>-271.52501531999997</v>
      </c>
      <c r="W17" s="52">
        <v>-323.57410689</v>
      </c>
      <c r="X17" s="237"/>
      <c r="Y17" s="52">
        <v>-1263.5456888810136</v>
      </c>
      <c r="Z17" s="52">
        <v>-344.48944021101335</v>
      </c>
      <c r="AA17" s="52">
        <v>-919.05624867000017</v>
      </c>
      <c r="AB17" s="52">
        <v>-307.39329872000019</v>
      </c>
      <c r="AC17" s="52">
        <v>-611.66294994999998</v>
      </c>
      <c r="AD17" s="52">
        <v>-316.37130836999995</v>
      </c>
      <c r="AE17" s="52">
        <v>-295.29164158000003</v>
      </c>
      <c r="AF17" s="192"/>
      <c r="AG17" s="52">
        <v>-1144.6332846500002</v>
      </c>
      <c r="AH17" s="52">
        <v>-280.14782119000034</v>
      </c>
      <c r="AI17" s="52">
        <v>-864.48546345999989</v>
      </c>
      <c r="AJ17" s="52">
        <v>-288.20099312999986</v>
      </c>
      <c r="AK17" s="52">
        <v>-576.28447032999998</v>
      </c>
      <c r="AL17" s="52">
        <v>-293.73620168999997</v>
      </c>
      <c r="AM17" s="52">
        <v>-282.54826864</v>
      </c>
      <c r="AN17" s="192"/>
      <c r="AO17" s="320"/>
      <c r="AP17" s="320"/>
      <c r="AQ17" s="320"/>
      <c r="AR17" s="320"/>
      <c r="AS17" s="320"/>
      <c r="AT17" s="320"/>
      <c r="AU17" s="320"/>
      <c r="AV17" s="192"/>
    </row>
    <row r="18" spans="1:48" x14ac:dyDescent="0.2">
      <c r="A18" s="3" t="s">
        <v>34</v>
      </c>
      <c r="B18" s="49"/>
      <c r="C18" s="54" t="s">
        <v>75</v>
      </c>
      <c r="D18" s="245"/>
      <c r="E18" s="262">
        <v>-154.31356517</v>
      </c>
      <c r="F18" s="262">
        <v>-154.13503431999999</v>
      </c>
      <c r="G18" s="300">
        <f t="shared" si="2"/>
        <v>1.1582756041652598E-3</v>
      </c>
      <c r="H18" s="299"/>
      <c r="I18" s="52">
        <v>-154.31356517</v>
      </c>
      <c r="J18" s="52">
        <v>-154.13503431999999</v>
      </c>
      <c r="K18" s="53">
        <f t="shared" si="3"/>
        <v>1.1582756041652598E-3</v>
      </c>
      <c r="L18" s="50"/>
      <c r="M18" s="50"/>
      <c r="N18" s="52">
        <v>-149.15655541999999</v>
      </c>
      <c r="O18" s="53">
        <f t="shared" si="1"/>
        <v>3.457447602942243E-2</v>
      </c>
      <c r="P18" s="50"/>
      <c r="Q18" s="52">
        <v>-577.96340848</v>
      </c>
      <c r="R18" s="52">
        <v>-149.15655541999999</v>
      </c>
      <c r="S18" s="52">
        <v>-428.80685305999998</v>
      </c>
      <c r="T18" s="52">
        <v>-129.54228645000001</v>
      </c>
      <c r="U18" s="839">
        <v>-299.26456660999997</v>
      </c>
      <c r="V18" s="52">
        <v>-145.12953228999996</v>
      </c>
      <c r="W18" s="52">
        <v>-154.13503431999999</v>
      </c>
      <c r="X18" s="237"/>
      <c r="Y18" s="52">
        <v>-573.80807798043179</v>
      </c>
      <c r="Z18" s="52">
        <v>-137.07845303043194</v>
      </c>
      <c r="AA18" s="52">
        <v>-436.72962494999985</v>
      </c>
      <c r="AB18" s="52">
        <v>-148.45637489999984</v>
      </c>
      <c r="AC18" s="52">
        <v>-288.27325005</v>
      </c>
      <c r="AD18" s="52">
        <v>-144.39025365999998</v>
      </c>
      <c r="AE18" s="52">
        <v>-143.88299639000002</v>
      </c>
      <c r="AF18" s="192"/>
      <c r="AG18" s="52">
        <v>-561.31739246000018</v>
      </c>
      <c r="AH18" s="52">
        <v>-145.74555902000012</v>
      </c>
      <c r="AI18" s="52">
        <v>-415.57183344000009</v>
      </c>
      <c r="AJ18" s="52">
        <v>-136.24405984000006</v>
      </c>
      <c r="AK18" s="52">
        <v>-279.3277736</v>
      </c>
      <c r="AL18" s="52">
        <v>-136.70489573</v>
      </c>
      <c r="AM18" s="52">
        <v>-142.62287787</v>
      </c>
      <c r="AN18" s="192"/>
      <c r="AO18" s="320"/>
      <c r="AP18" s="320"/>
      <c r="AQ18" s="320"/>
      <c r="AR18" s="320"/>
      <c r="AS18" s="320"/>
      <c r="AT18" s="320"/>
      <c r="AU18" s="320"/>
      <c r="AV18" s="192"/>
    </row>
    <row r="19" spans="1:48" ht="12" x14ac:dyDescent="0.25">
      <c r="A19" s="3" t="s">
        <v>35</v>
      </c>
      <c r="C19" s="7" t="s">
        <v>76</v>
      </c>
      <c r="D19" s="192"/>
      <c r="E19" s="266">
        <v>-457.07635596</v>
      </c>
      <c r="F19" s="266">
        <v>-486.45540524</v>
      </c>
      <c r="G19" s="305">
        <f t="shared" si="2"/>
        <v>-6.0394126498615863E-2</v>
      </c>
      <c r="H19" s="306"/>
      <c r="I19" s="14">
        <v>-457.07635596</v>
      </c>
      <c r="J19" s="14">
        <v>-486.45540524</v>
      </c>
      <c r="K19" s="11">
        <f t="shared" si="3"/>
        <v>-6.0394126498615863E-2</v>
      </c>
      <c r="L19" s="27"/>
      <c r="M19" s="27"/>
      <c r="N19" s="14">
        <v>-472.14019484999994</v>
      </c>
      <c r="O19" s="11">
        <f t="shared" si="1"/>
        <v>-3.1905436254555219E-2</v>
      </c>
      <c r="P19" s="27"/>
      <c r="Q19" s="14">
        <v>-1895.3946903799999</v>
      </c>
      <c r="R19" s="14">
        <v>-472.14019484999994</v>
      </c>
      <c r="S19" s="14">
        <v>-1423.25449553</v>
      </c>
      <c r="T19" s="14">
        <v>-518.35554267999999</v>
      </c>
      <c r="U19" s="14">
        <v>-904.89895285</v>
      </c>
      <c r="V19" s="14">
        <v>-418.44354761</v>
      </c>
      <c r="W19" s="14">
        <v>-486.45540524</v>
      </c>
      <c r="X19" s="238"/>
      <c r="Y19" s="14">
        <v>-1851.5946060200006</v>
      </c>
      <c r="Z19" s="14">
        <v>-495.80873240000034</v>
      </c>
      <c r="AA19" s="14">
        <v>-1355.7858736200001</v>
      </c>
      <c r="AB19" s="14">
        <v>-455.84967362000003</v>
      </c>
      <c r="AC19" s="14">
        <v>-899.93619999999999</v>
      </c>
      <c r="AD19" s="14">
        <v>-460.76156202999994</v>
      </c>
      <c r="AE19" s="14">
        <v>-439.17463797000005</v>
      </c>
      <c r="AF19" s="192"/>
      <c r="AG19" s="14">
        <v>-1705.9506771100005</v>
      </c>
      <c r="AH19" s="14">
        <v>-425.89338021000049</v>
      </c>
      <c r="AI19" s="14">
        <v>-1280.0572969</v>
      </c>
      <c r="AJ19" s="14">
        <v>-424.44505296999989</v>
      </c>
      <c r="AK19" s="14">
        <v>-855.61224392999998</v>
      </c>
      <c r="AL19" s="14">
        <v>-430.44109742000001</v>
      </c>
      <c r="AM19" s="14">
        <v>-425.17114650999997</v>
      </c>
      <c r="AN19" s="192"/>
      <c r="AO19" s="358"/>
      <c r="AP19" s="358"/>
      <c r="AQ19" s="358"/>
      <c r="AR19" s="358"/>
      <c r="AS19" s="358"/>
      <c r="AT19" s="358"/>
      <c r="AU19" s="358"/>
      <c r="AV19" s="192"/>
    </row>
    <row r="20" spans="1:48" ht="12" x14ac:dyDescent="0.25">
      <c r="A20" s="3" t="s">
        <v>36</v>
      </c>
      <c r="C20" s="8" t="s">
        <v>77</v>
      </c>
      <c r="D20" s="192"/>
      <c r="E20" s="267">
        <v>-455.28835595999999</v>
      </c>
      <c r="F20" s="267">
        <v>-477.70914120999998</v>
      </c>
      <c r="G20" s="307">
        <f t="shared" si="2"/>
        <v>-4.6933967378580799E-2</v>
      </c>
      <c r="H20" s="306"/>
      <c r="I20" s="847">
        <v>-455.28835595999999</v>
      </c>
      <c r="J20" s="847">
        <v>-477.70914120999998</v>
      </c>
      <c r="K20" s="848">
        <f t="shared" si="3"/>
        <v>-4.6933967378580799E-2</v>
      </c>
      <c r="L20" s="27"/>
      <c r="M20" s="27"/>
      <c r="N20" s="847">
        <v>-450.13112320000005</v>
      </c>
      <c r="O20" s="848">
        <f t="shared" si="1"/>
        <v>1.1457178795673872E-2</v>
      </c>
      <c r="P20" s="27"/>
      <c r="Q20" s="847">
        <v>-1780.56316784</v>
      </c>
      <c r="R20" s="847">
        <v>-450.13112320000005</v>
      </c>
      <c r="S20" s="847">
        <v>-1330.4320446399997</v>
      </c>
      <c r="T20" s="847">
        <v>-436.06835581999997</v>
      </c>
      <c r="U20" s="847">
        <v>-894.36368881999988</v>
      </c>
      <c r="V20" s="847">
        <v>-416.65454760999995</v>
      </c>
      <c r="W20" s="847">
        <v>-477.70914120999998</v>
      </c>
      <c r="X20" s="238"/>
      <c r="Y20" s="847">
        <v>-1837.3537668614456</v>
      </c>
      <c r="Z20" s="847">
        <v>-481.56789324144529</v>
      </c>
      <c r="AA20" s="847">
        <v>-1355.7858736200001</v>
      </c>
      <c r="AB20" s="847">
        <v>-455.84967362000003</v>
      </c>
      <c r="AC20" s="847">
        <v>-899.93619999999999</v>
      </c>
      <c r="AD20" s="847">
        <v>-460.76156202999994</v>
      </c>
      <c r="AE20" s="847">
        <v>-439.17463797000005</v>
      </c>
      <c r="AF20" s="192"/>
      <c r="AG20" s="847">
        <v>-1705.9506771100005</v>
      </c>
      <c r="AH20" s="847">
        <v>-425.89338021000049</v>
      </c>
      <c r="AI20" s="847">
        <v>-1280.0572969</v>
      </c>
      <c r="AJ20" s="847">
        <v>-424.44505296999989</v>
      </c>
      <c r="AK20" s="847">
        <v>-855.61224392999998</v>
      </c>
      <c r="AL20" s="847">
        <v>-430.44109742000001</v>
      </c>
      <c r="AM20" s="847">
        <v>-425.17114650999997</v>
      </c>
      <c r="AN20" s="192"/>
      <c r="AO20" s="358"/>
      <c r="AP20" s="358"/>
      <c r="AQ20" s="358"/>
      <c r="AR20" s="358"/>
      <c r="AS20" s="358"/>
      <c r="AT20" s="358"/>
      <c r="AU20" s="358"/>
      <c r="AV20" s="192"/>
    </row>
    <row r="21" spans="1:48" hidden="1" x14ac:dyDescent="0.2">
      <c r="A21" s="3" t="s">
        <v>37</v>
      </c>
      <c r="C21" s="12" t="s">
        <v>78</v>
      </c>
      <c r="D21" s="192"/>
      <c r="E21" s="269">
        <v>-455.28835595999999</v>
      </c>
      <c r="F21" s="269">
        <v>-477.70914120999998</v>
      </c>
      <c r="G21" s="309">
        <f t="shared" si="2"/>
        <v>-4.6933967378580799E-2</v>
      </c>
      <c r="H21" s="310"/>
      <c r="I21" s="851">
        <v>-455.28835595999999</v>
      </c>
      <c r="J21" s="851">
        <v>-477.70914120999998</v>
      </c>
      <c r="K21" s="852">
        <f t="shared" si="3"/>
        <v>-4.6933967378580799E-2</v>
      </c>
      <c r="L21" s="28"/>
      <c r="M21" s="28"/>
      <c r="N21" s="851">
        <v>-450.13112320000005</v>
      </c>
      <c r="O21" s="852">
        <f t="shared" si="1"/>
        <v>1.1457178795673872E-2</v>
      </c>
      <c r="P21" s="28"/>
      <c r="Q21" s="851">
        <v>-1780.56316784</v>
      </c>
      <c r="R21" s="851">
        <v>-450.13112320000005</v>
      </c>
      <c r="S21" s="851">
        <v>-1330.4320446399997</v>
      </c>
      <c r="T21" s="851">
        <v>-436.06835581999997</v>
      </c>
      <c r="U21" s="839">
        <v>-894.36368881999988</v>
      </c>
      <c r="V21" s="851">
        <v>-416.65454760999995</v>
      </c>
      <c r="W21" s="851">
        <v>-477.70914120999998</v>
      </c>
      <c r="X21" s="255"/>
      <c r="Y21" s="851">
        <v>-1837.3537668614456</v>
      </c>
      <c r="Z21" s="851">
        <v>-481.56789324144529</v>
      </c>
      <c r="AA21" s="851">
        <v>-1355.7858736200001</v>
      </c>
      <c r="AB21" s="851">
        <v>-455.84967362000003</v>
      </c>
      <c r="AC21" s="851">
        <v>-899.93619999999999</v>
      </c>
      <c r="AD21" s="851">
        <v>-460.76156202999994</v>
      </c>
      <c r="AE21" s="851">
        <v>-439.17463797000005</v>
      </c>
      <c r="AF21" s="192"/>
      <c r="AG21" s="851">
        <v>-1705.9506771100005</v>
      </c>
      <c r="AH21" s="851">
        <v>-425.89338021000049</v>
      </c>
      <c r="AI21" s="851">
        <v>-1280.0572969</v>
      </c>
      <c r="AJ21" s="851">
        <v>-424.44505296999989</v>
      </c>
      <c r="AK21" s="851">
        <v>-855.61224392999998</v>
      </c>
      <c r="AL21" s="851">
        <v>-430.44109742000001</v>
      </c>
      <c r="AM21" s="851">
        <v>-425.17114650999997</v>
      </c>
      <c r="AN21" s="192"/>
      <c r="AO21" s="377"/>
      <c r="AP21" s="377"/>
      <c r="AQ21" s="377"/>
      <c r="AR21" s="377"/>
      <c r="AS21" s="377"/>
      <c r="AT21" s="377"/>
      <c r="AU21" s="377"/>
      <c r="AV21" s="192"/>
    </row>
    <row r="22" spans="1:48" x14ac:dyDescent="0.2">
      <c r="A22" s="137" t="s">
        <v>215</v>
      </c>
      <c r="B22" s="19"/>
      <c r="C22" s="188" t="s">
        <v>216</v>
      </c>
      <c r="D22" s="248"/>
      <c r="E22" s="270">
        <v>0.56134874365851029</v>
      </c>
      <c r="F22" s="270">
        <v>0.5450993596736855</v>
      </c>
      <c r="G22" s="311">
        <f>IF(ISERROR($E22*F22),"NM",IF($E22*F22&gt;0,IF(E22/F22&gt;2,"NM",($E22-F22)*100),"NM"))</f>
        <v>1.6249383984824783</v>
      </c>
      <c r="H22" s="312"/>
      <c r="I22" s="853">
        <v>0.56134874365851029</v>
      </c>
      <c r="J22" s="853">
        <v>0.5450993596736855</v>
      </c>
      <c r="K22" s="854">
        <f>IF(ISERROR($I22*J22),"NM",IF($I22*J22&gt;0,IF($I22/J22&gt;2,"NM",($I22-J22)*100),"NM"))</f>
        <v>1.6249383984824783</v>
      </c>
      <c r="L22" s="189"/>
      <c r="M22" s="189"/>
      <c r="N22" s="853">
        <v>0.53452041469967548</v>
      </c>
      <c r="O22" s="854">
        <f>IF(ISERROR($I22*N22),"NM",IF($I22*N22&gt;0,IF($I22/N22&gt;2,"NM",($I22-N22)*100),"NM"))</f>
        <v>2.6828328958834802</v>
      </c>
      <c r="P22" s="189"/>
      <c r="Q22" s="853">
        <v>0.56719890288474062</v>
      </c>
      <c r="R22" s="853">
        <v>0.53452041469967548</v>
      </c>
      <c r="S22" s="853">
        <v>0.57894030207853509</v>
      </c>
      <c r="T22" s="853">
        <v>0.65167538144300263</v>
      </c>
      <c r="U22" s="853">
        <v>0.54414994750925094</v>
      </c>
      <c r="V22" s="853">
        <v>0.54305037115297028</v>
      </c>
      <c r="W22" s="853">
        <v>0.5450993596736855</v>
      </c>
      <c r="X22" s="187"/>
      <c r="Y22" s="853">
        <v>0.54365075771165894</v>
      </c>
      <c r="Z22" s="853">
        <v>0.5505046883731457</v>
      </c>
      <c r="AA22" s="853">
        <v>0.54118671134627983</v>
      </c>
      <c r="AB22" s="853">
        <v>0.543960080092872</v>
      </c>
      <c r="AC22" s="853">
        <v>0.53979266410065252</v>
      </c>
      <c r="AD22" s="853">
        <v>0.5335814047546511</v>
      </c>
      <c r="AE22" s="853">
        <v>0.54646659314021007</v>
      </c>
      <c r="AF22" s="187"/>
      <c r="AG22" s="853">
        <v>0.5463922213538418</v>
      </c>
      <c r="AH22" s="853">
        <v>0.54179951098069101</v>
      </c>
      <c r="AI22" s="853">
        <v>0.54793759331394765</v>
      </c>
      <c r="AJ22" s="853">
        <v>0.55875733997529842</v>
      </c>
      <c r="AK22" s="853">
        <v>0.5427242352799998</v>
      </c>
      <c r="AL22" s="853">
        <v>0.53601705256045362</v>
      </c>
      <c r="AM22" s="853">
        <v>0.54968773437431451</v>
      </c>
      <c r="AN22" s="187"/>
      <c r="AO22" s="375"/>
      <c r="AP22" s="375"/>
      <c r="AQ22" s="375"/>
      <c r="AR22" s="375"/>
      <c r="AS22" s="375"/>
      <c r="AT22" s="375"/>
      <c r="AU22" s="375"/>
      <c r="AV22" s="192"/>
    </row>
    <row r="23" spans="1:48" x14ac:dyDescent="0.2">
      <c r="A23" s="137" t="s">
        <v>213</v>
      </c>
      <c r="B23" s="19"/>
      <c r="C23" s="185" t="s">
        <v>214</v>
      </c>
      <c r="D23" s="248"/>
      <c r="E23" s="271">
        <v>0.50449680439119871</v>
      </c>
      <c r="F23" s="271">
        <v>0.52368597869981337</v>
      </c>
      <c r="G23" s="313">
        <f>IF(ISERROR($E23*F23),"NM",IF($E23*F23&gt;0,IF(E23/F23&gt;2,"NM",($E23-F23)*100),"NM"))</f>
        <v>-1.9189174308614665</v>
      </c>
      <c r="H23" s="314"/>
      <c r="I23" s="855">
        <v>0.50449680439119871</v>
      </c>
      <c r="J23" s="855">
        <v>0.52368597869981337</v>
      </c>
      <c r="K23" s="856">
        <f>IF(ISERROR($I23*J23),"NM",IF($I23*J23&gt;0,IF($I23/J23&gt;2,"NM",($I23-J23)*100),"NM"))</f>
        <v>-1.9189174308614665</v>
      </c>
      <c r="L23" s="186"/>
      <c r="M23" s="186"/>
      <c r="N23" s="855">
        <v>0.50056810426432174</v>
      </c>
      <c r="O23" s="856">
        <f>IF(ISERROR($I23*N23),"NM",IF($I23*N23&gt;0,IF($I23/N23&gt;2,"NM",($I23-N23)*100),"NM"))</f>
        <v>0.39287001268769606</v>
      </c>
      <c r="P23" s="186"/>
      <c r="Q23" s="855">
        <v>0.52108201257842501</v>
      </c>
      <c r="R23" s="855">
        <v>0.50056810426432174</v>
      </c>
      <c r="S23" s="855">
        <v>0.52840859527059636</v>
      </c>
      <c r="T23" s="855">
        <v>0.53489292497563623</v>
      </c>
      <c r="U23" s="855">
        <v>0.52530368469569466</v>
      </c>
      <c r="V23" s="855">
        <v>0.52717078396060213</v>
      </c>
      <c r="W23" s="855">
        <v>0.52368597869981337</v>
      </c>
      <c r="X23" s="187"/>
      <c r="Y23" s="855">
        <v>0.52533555944638954</v>
      </c>
      <c r="Z23" s="855">
        <v>0.52094702196970399</v>
      </c>
      <c r="AA23" s="855">
        <v>0.52691219356444507</v>
      </c>
      <c r="AB23" s="855">
        <v>0.52896984501654087</v>
      </c>
      <c r="AC23" s="855">
        <v>0.52587601599504252</v>
      </c>
      <c r="AD23" s="855">
        <v>0.51931465044578029</v>
      </c>
      <c r="AE23" s="855">
        <v>0.5329405153005129</v>
      </c>
      <c r="AF23" s="187"/>
      <c r="AG23" s="855">
        <v>0.53246846459252295</v>
      </c>
      <c r="AH23" s="855">
        <v>0.52809206242463202</v>
      </c>
      <c r="AI23" s="855">
        <v>0.53394068243572179</v>
      </c>
      <c r="AJ23" s="855">
        <v>0.54413656035613034</v>
      </c>
      <c r="AK23" s="855">
        <v>0.5290232773406085</v>
      </c>
      <c r="AL23" s="855">
        <v>0.52272851079543869</v>
      </c>
      <c r="AM23" s="855">
        <v>0.53555240803476067</v>
      </c>
      <c r="AN23" s="187"/>
      <c r="AO23" s="375"/>
      <c r="AP23" s="375"/>
      <c r="AQ23" s="375"/>
      <c r="AR23" s="375"/>
      <c r="AS23" s="375"/>
      <c r="AT23" s="375"/>
      <c r="AU23" s="375"/>
      <c r="AV23" s="192"/>
    </row>
    <row r="24" spans="1:48" ht="12" x14ac:dyDescent="0.25">
      <c r="A24" s="3" t="s">
        <v>38</v>
      </c>
      <c r="C24" s="7" t="s">
        <v>79</v>
      </c>
      <c r="D24" s="192"/>
      <c r="E24" s="266">
        <v>357.17033314999981</v>
      </c>
      <c r="F24" s="266">
        <v>405.96062242000005</v>
      </c>
      <c r="G24" s="305">
        <f>IF(ISERROR($E24*F24),"NM",IF($E24*F24&gt;0,IF(E24/F24&gt;2,"NM",E24/F24-1),"NM"))</f>
        <v>-0.12018478289631407</v>
      </c>
      <c r="H24" s="306"/>
      <c r="I24" s="14">
        <v>357.17033314999981</v>
      </c>
      <c r="J24" s="14">
        <v>405.96062242000005</v>
      </c>
      <c r="K24" s="11">
        <f>IF(ISERROR($E24*J24),"NM",IF($E24*J24&gt;0,IF(I24/J24&gt;2,"NM",I24/J24-1),"NM"))</f>
        <v>-0.12018478289631407</v>
      </c>
      <c r="L24" s="27"/>
      <c r="M24" s="27"/>
      <c r="N24" s="14">
        <v>411.15664819999967</v>
      </c>
      <c r="O24" s="11">
        <f t="shared" ref="O24:O29" si="4">IF(ISERROR($I24*N24),"NM",IF($I24*N24&gt;0,IF($I24/N24&gt;2,"NM",$I24/N24-1),"NM"))</f>
        <v>-0.1313035196836686</v>
      </c>
      <c r="P24" s="27"/>
      <c r="Q24" s="14">
        <v>1446.2808325099998</v>
      </c>
      <c r="R24" s="14">
        <v>411.15664819999967</v>
      </c>
      <c r="S24" s="14">
        <v>1035.1241843100001</v>
      </c>
      <c r="T24" s="14">
        <v>277.06432040000004</v>
      </c>
      <c r="U24" s="14">
        <v>758.0598639100001</v>
      </c>
      <c r="V24" s="14">
        <v>352.09924149000005</v>
      </c>
      <c r="W24" s="14">
        <v>405.96062242000005</v>
      </c>
      <c r="X24" s="238"/>
      <c r="Y24" s="14">
        <v>1554.2584710800004</v>
      </c>
      <c r="Z24" s="14">
        <v>404.83524552000034</v>
      </c>
      <c r="AA24" s="14">
        <v>1149.4232255599995</v>
      </c>
      <c r="AB24" s="14">
        <v>382.17078101000044</v>
      </c>
      <c r="AC24" s="14">
        <v>767.25244454999927</v>
      </c>
      <c r="AD24" s="14">
        <v>402.76471141999991</v>
      </c>
      <c r="AE24" s="14">
        <v>364.48773312999958</v>
      </c>
      <c r="AF24" s="192"/>
      <c r="AG24" s="14">
        <v>1416.2582607899999</v>
      </c>
      <c r="AH24" s="14">
        <v>360.17853675999982</v>
      </c>
      <c r="AI24" s="14">
        <v>1056.0797240300008</v>
      </c>
      <c r="AJ24" s="14">
        <v>335.17817271999968</v>
      </c>
      <c r="AK24" s="14">
        <v>720.90155131000142</v>
      </c>
      <c r="AL24" s="14">
        <v>372.59510332000082</v>
      </c>
      <c r="AM24" s="14">
        <v>348.30644799000049</v>
      </c>
      <c r="AN24" s="192"/>
      <c r="AO24" s="358"/>
      <c r="AP24" s="358"/>
      <c r="AQ24" s="358"/>
      <c r="AR24" s="358"/>
      <c r="AS24" s="358"/>
      <c r="AT24" s="358"/>
      <c r="AU24" s="358"/>
      <c r="AV24" s="192"/>
    </row>
    <row r="25" spans="1:48" ht="12" x14ac:dyDescent="0.2">
      <c r="A25" s="3" t="s">
        <v>39</v>
      </c>
      <c r="B25" s="10"/>
      <c r="C25" s="9" t="s">
        <v>80</v>
      </c>
      <c r="D25" s="250"/>
      <c r="E25" s="267">
        <v>447.17198074999976</v>
      </c>
      <c r="F25" s="267">
        <v>434.49618916000003</v>
      </c>
      <c r="G25" s="307">
        <f t="shared" si="2"/>
        <v>2.9173539161541306E-2</v>
      </c>
      <c r="H25" s="306"/>
      <c r="I25" s="847">
        <v>447.17198074999976</v>
      </c>
      <c r="J25" s="847">
        <v>434.49618916000003</v>
      </c>
      <c r="K25" s="848">
        <f t="shared" si="3"/>
        <v>2.9173539161541306E-2</v>
      </c>
      <c r="L25" s="27"/>
      <c r="M25" s="27"/>
      <c r="N25" s="847">
        <v>449.10939844999973</v>
      </c>
      <c r="O25" s="848">
        <f t="shared" si="4"/>
        <v>-4.3139103895097897E-3</v>
      </c>
      <c r="P25" s="27"/>
      <c r="Q25" s="847">
        <v>1636.4865956499998</v>
      </c>
      <c r="R25" s="847">
        <v>449.10939844999973</v>
      </c>
      <c r="S25" s="847">
        <v>1187.3771972000002</v>
      </c>
      <c r="T25" s="847">
        <v>379.17584626000007</v>
      </c>
      <c r="U25" s="847">
        <v>808.20135094000011</v>
      </c>
      <c r="V25" s="847">
        <v>373.70516178000003</v>
      </c>
      <c r="W25" s="847">
        <v>434.49618916000003</v>
      </c>
      <c r="X25" s="238"/>
      <c r="Y25" s="847">
        <v>1660.1322376985554</v>
      </c>
      <c r="Z25" s="847">
        <v>442.8406798618887</v>
      </c>
      <c r="AA25" s="847">
        <v>1217.2915578366662</v>
      </c>
      <c r="AB25" s="847">
        <v>405.91906029666711</v>
      </c>
      <c r="AC25" s="847">
        <v>811.37249753999924</v>
      </c>
      <c r="AD25" s="847">
        <v>426.48774170999991</v>
      </c>
      <c r="AE25" s="847">
        <v>384.88475582999956</v>
      </c>
      <c r="AF25" s="192"/>
      <c r="AG25" s="847">
        <v>1497.9023030199999</v>
      </c>
      <c r="AH25" s="847">
        <v>380.58225256999981</v>
      </c>
      <c r="AI25" s="847">
        <v>1117.3200504500007</v>
      </c>
      <c r="AJ25" s="847">
        <v>355.5890118099997</v>
      </c>
      <c r="AK25" s="847">
        <v>761.73103864000143</v>
      </c>
      <c r="AL25" s="847">
        <v>393.00948645000079</v>
      </c>
      <c r="AM25" s="847">
        <v>368.72155219000047</v>
      </c>
      <c r="AN25" s="192"/>
      <c r="AO25" s="358"/>
      <c r="AP25" s="358"/>
      <c r="AQ25" s="358"/>
      <c r="AR25" s="358"/>
      <c r="AS25" s="358"/>
      <c r="AT25" s="358"/>
      <c r="AU25" s="358"/>
      <c r="AV25" s="192"/>
    </row>
    <row r="26" spans="1:48" hidden="1" x14ac:dyDescent="0.2">
      <c r="A26" s="3" t="s">
        <v>40</v>
      </c>
      <c r="B26" s="19"/>
      <c r="C26" s="12" t="s">
        <v>81</v>
      </c>
      <c r="D26" s="256"/>
      <c r="E26" s="269">
        <v>447.17198074999976</v>
      </c>
      <c r="F26" s="269">
        <v>434.49618916000003</v>
      </c>
      <c r="G26" s="309">
        <f t="shared" si="2"/>
        <v>2.9173539161541306E-2</v>
      </c>
      <c r="H26" s="310"/>
      <c r="I26" s="851">
        <v>447.17198074999976</v>
      </c>
      <c r="J26" s="851">
        <v>434.49618916000003</v>
      </c>
      <c r="K26" s="852">
        <f t="shared" si="3"/>
        <v>2.9173539161541306E-2</v>
      </c>
      <c r="L26" s="28"/>
      <c r="M26" s="28"/>
      <c r="N26" s="851">
        <v>449.10939844999973</v>
      </c>
      <c r="O26" s="852">
        <f t="shared" si="4"/>
        <v>-4.3139103895097897E-3</v>
      </c>
      <c r="P26" s="28"/>
      <c r="Q26" s="851">
        <v>1636.4865956499998</v>
      </c>
      <c r="R26" s="851">
        <v>449.10939844999973</v>
      </c>
      <c r="S26" s="851">
        <v>1187.3771972000002</v>
      </c>
      <c r="T26" s="851">
        <v>379.17584626000007</v>
      </c>
      <c r="U26" s="839">
        <v>808.20135094000011</v>
      </c>
      <c r="V26" s="851">
        <v>373.70516178000003</v>
      </c>
      <c r="W26" s="851">
        <v>434.49618916000003</v>
      </c>
      <c r="X26" s="255"/>
      <c r="Y26" s="851">
        <v>1660.1322376985554</v>
      </c>
      <c r="Z26" s="851">
        <v>442.8406798618887</v>
      </c>
      <c r="AA26" s="851">
        <v>1217.2915578366662</v>
      </c>
      <c r="AB26" s="851">
        <v>405.91906029666711</v>
      </c>
      <c r="AC26" s="851">
        <v>811.37249753999924</v>
      </c>
      <c r="AD26" s="851">
        <v>426.48774170999991</v>
      </c>
      <c r="AE26" s="851">
        <v>384.88475582999956</v>
      </c>
      <c r="AF26" s="192"/>
      <c r="AG26" s="851">
        <v>1497.9023030199999</v>
      </c>
      <c r="AH26" s="851">
        <v>380.58225256999981</v>
      </c>
      <c r="AI26" s="851">
        <v>1117.3200504500007</v>
      </c>
      <c r="AJ26" s="851">
        <v>355.5890118099997</v>
      </c>
      <c r="AK26" s="851">
        <v>761.73103864000143</v>
      </c>
      <c r="AL26" s="851">
        <v>393.00948645000079</v>
      </c>
      <c r="AM26" s="851">
        <v>368.72155219000047</v>
      </c>
      <c r="AN26" s="192"/>
      <c r="AO26" s="377"/>
      <c r="AP26" s="377"/>
      <c r="AQ26" s="377"/>
      <c r="AR26" s="377"/>
      <c r="AS26" s="377"/>
      <c r="AT26" s="377"/>
      <c r="AU26" s="377"/>
      <c r="AV26" s="192"/>
    </row>
    <row r="27" spans="1:48" x14ac:dyDescent="0.2">
      <c r="A27" s="3" t="s">
        <v>41</v>
      </c>
      <c r="B27" s="49"/>
      <c r="C27" s="54" t="s">
        <v>82</v>
      </c>
      <c r="D27" s="245"/>
      <c r="E27" s="262">
        <v>-3.0518472300000004</v>
      </c>
      <c r="F27" s="262">
        <v>-4.4232131800000003</v>
      </c>
      <c r="G27" s="300">
        <f t="shared" si="2"/>
        <v>-0.31003840289696372</v>
      </c>
      <c r="H27" s="299"/>
      <c r="I27" s="52">
        <v>-3.0518472300000004</v>
      </c>
      <c r="J27" s="52">
        <v>-4.4232131800000003</v>
      </c>
      <c r="K27" s="53">
        <f t="shared" si="3"/>
        <v>-0.31003840289696372</v>
      </c>
      <c r="L27" s="50"/>
      <c r="M27" s="50"/>
      <c r="N27" s="52">
        <v>-1.5431881400000007</v>
      </c>
      <c r="O27" s="53">
        <f t="shared" si="4"/>
        <v>0.97762486043989361</v>
      </c>
      <c r="P27" s="50"/>
      <c r="Q27" s="52">
        <v>393.66221627999994</v>
      </c>
      <c r="R27" s="52">
        <v>-1.5431881400000007</v>
      </c>
      <c r="S27" s="52">
        <v>395.20540441999992</v>
      </c>
      <c r="T27" s="52">
        <v>-1.3350708400000091</v>
      </c>
      <c r="U27" s="839">
        <v>396.54047525999994</v>
      </c>
      <c r="V27" s="52">
        <v>400.96368843999994</v>
      </c>
      <c r="W27" s="52">
        <v>-4.4232131800000003</v>
      </c>
      <c r="X27" s="237"/>
      <c r="Y27" s="52">
        <v>-9.7249906200000034</v>
      </c>
      <c r="Z27" s="52">
        <v>-2.9149546300000022</v>
      </c>
      <c r="AA27" s="52">
        <v>-6.8100359899999994</v>
      </c>
      <c r="AB27" s="52">
        <v>-1.790050630000001</v>
      </c>
      <c r="AC27" s="52">
        <v>-5.0199853599999988</v>
      </c>
      <c r="AD27" s="52">
        <v>-4.8932209499999981</v>
      </c>
      <c r="AE27" s="52">
        <v>-0.12676440999999991</v>
      </c>
      <c r="AF27" s="192"/>
      <c r="AG27" s="52">
        <v>-7.5540516700000016</v>
      </c>
      <c r="AH27" s="52">
        <v>-2.082697270000001</v>
      </c>
      <c r="AI27" s="52">
        <v>-5.471354400000001</v>
      </c>
      <c r="AJ27" s="52">
        <v>-2.796774950000001</v>
      </c>
      <c r="AK27" s="52">
        <v>-2.6745794499999995</v>
      </c>
      <c r="AL27" s="52">
        <v>-2.1497390799999998</v>
      </c>
      <c r="AM27" s="52">
        <v>-0.52484036999999983</v>
      </c>
      <c r="AN27" s="192"/>
      <c r="AO27" s="320"/>
      <c r="AP27" s="320"/>
      <c r="AQ27" s="320"/>
      <c r="AR27" s="320"/>
      <c r="AS27" s="320"/>
      <c r="AT27" s="320"/>
      <c r="AU27" s="320"/>
      <c r="AV27" s="192"/>
    </row>
    <row r="28" spans="1:48" ht="12" x14ac:dyDescent="0.25">
      <c r="A28" s="3" t="s">
        <v>221</v>
      </c>
      <c r="B28" s="18"/>
      <c r="C28" s="83" t="s">
        <v>227</v>
      </c>
      <c r="D28" s="245"/>
      <c r="E28" s="263">
        <v>-3.0518472300000004</v>
      </c>
      <c r="F28" s="263">
        <v>-4.4232131800000003</v>
      </c>
      <c r="G28" s="301">
        <f>IF(ISERROR($E28*F28),"NM",IF($E28*F28&gt;0,IF(E28/F28&gt;2,"NM",E28/F28-1),"NM"))</f>
        <v>-0.31003840289696372</v>
      </c>
      <c r="H28" s="299"/>
      <c r="I28" s="841">
        <v>-3.0518472300000004</v>
      </c>
      <c r="J28" s="841">
        <v>-4.4232131800000003</v>
      </c>
      <c r="K28" s="842">
        <f>IF(ISERROR($E28*J28),"NM",IF($E28*J28&gt;0,IF(I28/J28&gt;2,"NM",I28/J28-1),"NM"))</f>
        <v>-0.31003840289696372</v>
      </c>
      <c r="L28" s="50"/>
      <c r="M28" s="50"/>
      <c r="N28" s="841">
        <v>-1.5433921400000006</v>
      </c>
      <c r="O28" s="842">
        <f t="shared" si="4"/>
        <v>0.97736346512688543</v>
      </c>
      <c r="P28" s="50"/>
      <c r="Q28" s="841">
        <v>-8.3972613399999876</v>
      </c>
      <c r="R28" s="841">
        <v>-1.5433921400000006</v>
      </c>
      <c r="S28" s="841">
        <v>-6.8538691999999868</v>
      </c>
      <c r="T28" s="841">
        <v>-1.0113448400000091</v>
      </c>
      <c r="U28" s="841">
        <v>-5.8425243599999774</v>
      </c>
      <c r="V28" s="841">
        <v>-1.4193111799999771</v>
      </c>
      <c r="W28" s="841">
        <v>-4.4232131800000003</v>
      </c>
      <c r="X28" s="237"/>
      <c r="Y28" s="841">
        <v>-9.7249906200000034</v>
      </c>
      <c r="Z28" s="841">
        <v>-2.9149546300000022</v>
      </c>
      <c r="AA28" s="841">
        <v>-6.8100359899999994</v>
      </c>
      <c r="AB28" s="841">
        <v>-1.790050630000001</v>
      </c>
      <c r="AC28" s="841">
        <v>-5.0199853599999988</v>
      </c>
      <c r="AD28" s="841">
        <v>-4.8932209499999981</v>
      </c>
      <c r="AE28" s="841">
        <v>-0.12676440999999991</v>
      </c>
      <c r="AF28" s="192"/>
      <c r="AG28" s="841">
        <v>-7.5540516700000016</v>
      </c>
      <c r="AH28" s="841">
        <v>-2.082697270000001</v>
      </c>
      <c r="AI28" s="841">
        <v>-5.471354400000001</v>
      </c>
      <c r="AJ28" s="841">
        <v>-2.796774950000001</v>
      </c>
      <c r="AK28" s="841">
        <v>-2.6745794499999995</v>
      </c>
      <c r="AL28" s="841">
        <v>-2.1497390799999998</v>
      </c>
      <c r="AM28" s="841">
        <v>-0.52484036999999983</v>
      </c>
      <c r="AN28" s="192"/>
      <c r="AO28" s="320"/>
      <c r="AP28" s="320"/>
      <c r="AQ28" s="320"/>
      <c r="AR28" s="320"/>
      <c r="AS28" s="320"/>
      <c r="AT28" s="320"/>
      <c r="AU28" s="320"/>
      <c r="AV28" s="192"/>
    </row>
    <row r="29" spans="1:48" ht="12" x14ac:dyDescent="0.25">
      <c r="A29" s="3" t="s">
        <v>427</v>
      </c>
      <c r="B29" s="18"/>
      <c r="C29" s="54" t="s">
        <v>500</v>
      </c>
      <c r="D29" s="245"/>
      <c r="E29" s="262">
        <v>143.95979205999998</v>
      </c>
      <c r="F29" s="262">
        <v>27.52491075</v>
      </c>
      <c r="G29" s="300" t="str">
        <f t="shared" si="2"/>
        <v>NM</v>
      </c>
      <c r="H29" s="299"/>
      <c r="I29" s="52">
        <v>143.95979205999998</v>
      </c>
      <c r="J29" s="52">
        <v>27.52491075</v>
      </c>
      <c r="K29" s="53" t="str">
        <f t="shared" si="3"/>
        <v>NM</v>
      </c>
      <c r="L29" s="50"/>
      <c r="M29" s="50"/>
      <c r="N29" s="52">
        <v>64.348960579999996</v>
      </c>
      <c r="O29" s="53" t="str">
        <f t="shared" si="4"/>
        <v>NM</v>
      </c>
      <c r="P29" s="50"/>
      <c r="Q29" s="52">
        <v>201.26011079</v>
      </c>
      <c r="R29" s="52">
        <v>64.348960579999996</v>
      </c>
      <c r="S29" s="52">
        <v>136.91115021000002</v>
      </c>
      <c r="T29" s="52">
        <v>51.406667530000007</v>
      </c>
      <c r="U29" s="839">
        <v>85.504482679999995</v>
      </c>
      <c r="V29" s="52">
        <v>57.979571929999999</v>
      </c>
      <c r="W29" s="52">
        <v>27.52491075</v>
      </c>
      <c r="X29" s="237"/>
      <c r="Y29" s="52">
        <v>123.34542582</v>
      </c>
      <c r="Z29" s="52">
        <v>29.307624059999988</v>
      </c>
      <c r="AA29" s="52">
        <v>94.037801760000008</v>
      </c>
      <c r="AB29" s="52">
        <v>32.70926673000001</v>
      </c>
      <c r="AC29" s="52">
        <v>61.328535029999998</v>
      </c>
      <c r="AD29" s="52">
        <v>32.737092789999998</v>
      </c>
      <c r="AE29" s="52">
        <v>28.591442239999999</v>
      </c>
      <c r="AF29" s="192"/>
      <c r="AG29" s="52">
        <v>101.99522737000001</v>
      </c>
      <c r="AH29" s="52">
        <v>28.856421770000004</v>
      </c>
      <c r="AI29" s="52">
        <v>73.138805600000012</v>
      </c>
      <c r="AJ29" s="52">
        <v>23.961162470000001</v>
      </c>
      <c r="AK29" s="52">
        <v>49.177643129999993</v>
      </c>
      <c r="AL29" s="52">
        <v>27.219239959999999</v>
      </c>
      <c r="AM29" s="52">
        <v>21.958403170000004</v>
      </c>
      <c r="AN29" s="192"/>
      <c r="AO29" s="320"/>
      <c r="AP29" s="320"/>
      <c r="AQ29" s="320"/>
      <c r="AR29" s="320"/>
      <c r="AS29" s="320"/>
      <c r="AT29" s="320"/>
      <c r="AU29" s="320"/>
      <c r="AV29" s="192"/>
    </row>
    <row r="30" spans="1:48" ht="12" x14ac:dyDescent="0.25">
      <c r="A30" s="3" t="s">
        <v>428</v>
      </c>
      <c r="B30" s="18"/>
      <c r="C30" s="83" t="s">
        <v>502</v>
      </c>
      <c r="D30" s="245"/>
      <c r="E30" s="263">
        <v>65.743176800000001</v>
      </c>
      <c r="F30" s="263">
        <v>27.52491075</v>
      </c>
      <c r="G30" s="301" t="str">
        <f t="shared" ref="G30:G35" si="5">IF(ISERROR($E30*F30),"NM",IF($E30*F30&gt;0,IF(E30/F30&gt;2,"NM",E30/F30-1),"NM"))</f>
        <v>NM</v>
      </c>
      <c r="H30" s="299"/>
      <c r="I30" s="841">
        <v>65.743176800000001</v>
      </c>
      <c r="J30" s="841">
        <v>27.52491075</v>
      </c>
      <c r="K30" s="842" t="str">
        <f t="shared" ref="K30:K35" si="6">IF(ISERROR($E30*J30),"NM",IF($E30*J30&gt;0,IF(I30/J30&gt;2,"NM",I30/J30-1),"NM"))</f>
        <v>NM</v>
      </c>
      <c r="L30" s="50"/>
      <c r="M30" s="50"/>
      <c r="N30" s="841">
        <v>71.07068731999999</v>
      </c>
      <c r="O30" s="842">
        <f t="shared" ref="O30:O37" si="7">IF(ISERROR($I30*N30),"NM",IF($I30*N30&gt;0,IF($I30/N30&gt;2,"NM",$I30/N30-1),"NM"))</f>
        <v>-7.4960728830615553E-2</v>
      </c>
      <c r="P30" s="50"/>
      <c r="Q30" s="841">
        <v>230.10389071999998</v>
      </c>
      <c r="R30" s="841">
        <v>71.07068731999999</v>
      </c>
      <c r="S30" s="841">
        <v>159.03320339999999</v>
      </c>
      <c r="T30" s="841">
        <v>66.886194649999993</v>
      </c>
      <c r="U30" s="841">
        <v>92.147008750000012</v>
      </c>
      <c r="V30" s="841">
        <v>64.622098000000008</v>
      </c>
      <c r="W30" s="841">
        <v>27.52491075</v>
      </c>
      <c r="X30" s="237"/>
      <c r="Y30" s="841">
        <v>123.34542582</v>
      </c>
      <c r="Z30" s="841">
        <v>29.307624059999988</v>
      </c>
      <c r="AA30" s="841">
        <v>94.037801760000008</v>
      </c>
      <c r="AB30" s="841">
        <v>32.70926673000001</v>
      </c>
      <c r="AC30" s="841">
        <v>61.328535029999998</v>
      </c>
      <c r="AD30" s="841">
        <v>32.737092789999998</v>
      </c>
      <c r="AE30" s="841">
        <v>28.591442239999999</v>
      </c>
      <c r="AF30" s="192"/>
      <c r="AG30" s="841"/>
      <c r="AH30" s="841"/>
      <c r="AI30" s="841"/>
      <c r="AJ30" s="841"/>
      <c r="AK30" s="841"/>
      <c r="AL30" s="841"/>
      <c r="AM30" s="841"/>
      <c r="AN30" s="192"/>
      <c r="AO30" s="320"/>
      <c r="AP30" s="320"/>
      <c r="AQ30" s="320"/>
      <c r="AR30" s="320"/>
      <c r="AS30" s="320"/>
      <c r="AT30" s="320"/>
      <c r="AU30" s="320"/>
      <c r="AV30" s="192"/>
    </row>
    <row r="31" spans="1:48" x14ac:dyDescent="0.2">
      <c r="A31" s="3" t="s">
        <v>429</v>
      </c>
      <c r="B31" s="49"/>
      <c r="C31" s="730" t="s">
        <v>503</v>
      </c>
      <c r="D31" s="245"/>
      <c r="E31" s="261">
        <v>28.65396037</v>
      </c>
      <c r="F31" s="261">
        <v>27.523162749999997</v>
      </c>
      <c r="G31" s="298">
        <f t="shared" si="5"/>
        <v>4.1085308046583613E-2</v>
      </c>
      <c r="H31" s="299"/>
      <c r="I31" s="857">
        <v>28.65396037</v>
      </c>
      <c r="J31" s="857">
        <v>27.523162749999997</v>
      </c>
      <c r="K31" s="858">
        <f t="shared" si="6"/>
        <v>4.1085308046583613E-2</v>
      </c>
      <c r="L31" s="50"/>
      <c r="M31" s="50"/>
      <c r="N31" s="857">
        <v>35.80300231999999</v>
      </c>
      <c r="O31" s="53">
        <f t="shared" si="7"/>
        <v>-0.19967716355470133</v>
      </c>
      <c r="P31" s="50"/>
      <c r="Q31" s="857">
        <v>135.19282808</v>
      </c>
      <c r="R31" s="857">
        <v>35.80300231999999</v>
      </c>
      <c r="S31" s="857">
        <v>99.389825759999979</v>
      </c>
      <c r="T31" s="857">
        <v>33.70645313</v>
      </c>
      <c r="U31" s="857">
        <v>65.683372629999994</v>
      </c>
      <c r="V31" s="857">
        <v>38.160209880000004</v>
      </c>
      <c r="W31" s="857">
        <v>27.523162749999997</v>
      </c>
      <c r="X31" s="237"/>
      <c r="Y31" s="857">
        <v>123.34542582</v>
      </c>
      <c r="Z31" s="857">
        <v>29.307624059999988</v>
      </c>
      <c r="AA31" s="857">
        <v>94.037801760000008</v>
      </c>
      <c r="AB31" s="857">
        <v>32.70926673000001</v>
      </c>
      <c r="AC31" s="857">
        <v>61.328535029999998</v>
      </c>
      <c r="AD31" s="857">
        <v>32.737092789999998</v>
      </c>
      <c r="AE31" s="857">
        <v>28.591442239999999</v>
      </c>
      <c r="AF31" s="192"/>
      <c r="AG31" s="857"/>
      <c r="AH31" s="857"/>
      <c r="AI31" s="857"/>
      <c r="AJ31" s="857"/>
      <c r="AK31" s="857"/>
      <c r="AL31" s="857"/>
      <c r="AM31" s="857"/>
      <c r="AN31" s="192"/>
      <c r="AO31" s="320"/>
      <c r="AP31" s="320"/>
      <c r="AQ31" s="320"/>
      <c r="AR31" s="320"/>
      <c r="AS31" s="320"/>
      <c r="AT31" s="320"/>
      <c r="AU31" s="320"/>
      <c r="AV31" s="192"/>
    </row>
    <row r="32" spans="1:48" x14ac:dyDescent="0.2">
      <c r="A32" s="3" t="s">
        <v>455</v>
      </c>
      <c r="B32" s="49"/>
      <c r="C32" s="730" t="s">
        <v>504</v>
      </c>
      <c r="D32" s="245"/>
      <c r="E32" s="261">
        <v>30.577416020000001</v>
      </c>
      <c r="F32" s="261">
        <v>0</v>
      </c>
      <c r="G32" s="298" t="str">
        <f t="shared" si="5"/>
        <v>NM</v>
      </c>
      <c r="H32" s="299"/>
      <c r="I32" s="857">
        <v>30.577416020000001</v>
      </c>
      <c r="J32" s="857">
        <v>0</v>
      </c>
      <c r="K32" s="858" t="str">
        <f t="shared" si="6"/>
        <v>NM</v>
      </c>
      <c r="L32" s="50"/>
      <c r="M32" s="50"/>
      <c r="N32" s="857">
        <v>28.522780259999998</v>
      </c>
      <c r="O32" s="53">
        <f t="shared" si="7"/>
        <v>7.2034904776846043E-2</v>
      </c>
      <c r="P32" s="50"/>
      <c r="Q32" s="857">
        <v>66.066518709999997</v>
      </c>
      <c r="R32" s="857">
        <v>28.522780259999998</v>
      </c>
      <c r="S32" s="857">
        <v>37.543738450000006</v>
      </c>
      <c r="T32" s="857">
        <v>17.726690400000003</v>
      </c>
      <c r="U32" s="857">
        <v>19.81704805</v>
      </c>
      <c r="V32" s="857">
        <v>19.81704805</v>
      </c>
      <c r="W32" s="857">
        <v>0</v>
      </c>
      <c r="X32" s="237"/>
      <c r="Y32" s="857">
        <v>0</v>
      </c>
      <c r="Z32" s="857">
        <v>0</v>
      </c>
      <c r="AA32" s="857">
        <v>0</v>
      </c>
      <c r="AB32" s="857">
        <v>0</v>
      </c>
      <c r="AC32" s="857">
        <v>0</v>
      </c>
      <c r="AD32" s="857">
        <v>0</v>
      </c>
      <c r="AE32" s="857">
        <v>0</v>
      </c>
      <c r="AF32" s="192"/>
      <c r="AG32" s="857"/>
      <c r="AH32" s="857"/>
      <c r="AI32" s="857"/>
      <c r="AJ32" s="857"/>
      <c r="AK32" s="857"/>
      <c r="AL32" s="857"/>
      <c r="AM32" s="857"/>
      <c r="AN32" s="192"/>
      <c r="AO32" s="320"/>
      <c r="AP32" s="320"/>
      <c r="AQ32" s="320"/>
      <c r="AR32" s="320"/>
      <c r="AS32" s="320"/>
      <c r="AT32" s="320"/>
      <c r="AU32" s="320"/>
      <c r="AV32" s="192"/>
    </row>
    <row r="33" spans="1:48" x14ac:dyDescent="0.2">
      <c r="A33" s="3" t="s">
        <v>452</v>
      </c>
      <c r="B33" s="49"/>
      <c r="C33" s="731" t="s">
        <v>505</v>
      </c>
      <c r="D33" s="245"/>
      <c r="E33" s="262">
        <v>37.088665210000002</v>
      </c>
      <c r="F33" s="262">
        <v>0</v>
      </c>
      <c r="G33" s="300" t="str">
        <f t="shared" si="5"/>
        <v>NM</v>
      </c>
      <c r="H33" s="299"/>
      <c r="I33" s="859">
        <v>37.088665210000002</v>
      </c>
      <c r="J33" s="859">
        <v>0</v>
      </c>
      <c r="K33" s="860" t="str">
        <f t="shared" si="6"/>
        <v>NM</v>
      </c>
      <c r="L33" s="50"/>
      <c r="M33" s="50"/>
      <c r="N33" s="859">
        <v>35.244506999999999</v>
      </c>
      <c r="O33" s="842">
        <f t="shared" si="7"/>
        <v>5.2324698711206263E-2</v>
      </c>
      <c r="P33" s="50"/>
      <c r="Q33" s="859">
        <v>94.910298639999993</v>
      </c>
      <c r="R33" s="859">
        <v>35.244506999999999</v>
      </c>
      <c r="S33" s="859">
        <v>59.665791640000009</v>
      </c>
      <c r="T33" s="859">
        <v>33.206217520000003</v>
      </c>
      <c r="U33" s="872">
        <v>26.459574120000003</v>
      </c>
      <c r="V33" s="859">
        <v>26.459574120000003</v>
      </c>
      <c r="W33" s="859">
        <v>0</v>
      </c>
      <c r="X33" s="237"/>
      <c r="Y33" s="859">
        <v>0</v>
      </c>
      <c r="Z33" s="859">
        <v>0</v>
      </c>
      <c r="AA33" s="859">
        <v>0</v>
      </c>
      <c r="AB33" s="859">
        <v>0</v>
      </c>
      <c r="AC33" s="859">
        <v>0</v>
      </c>
      <c r="AD33" s="859">
        <v>0</v>
      </c>
      <c r="AE33" s="859">
        <v>0</v>
      </c>
      <c r="AF33" s="192"/>
      <c r="AG33" s="859"/>
      <c r="AH33" s="859"/>
      <c r="AI33" s="859"/>
      <c r="AJ33" s="859"/>
      <c r="AK33" s="859"/>
      <c r="AL33" s="859"/>
      <c r="AM33" s="859"/>
      <c r="AN33" s="192"/>
      <c r="AO33" s="320"/>
      <c r="AP33" s="320"/>
      <c r="AQ33" s="320"/>
      <c r="AR33" s="320"/>
      <c r="AS33" s="320"/>
      <c r="AT33" s="320"/>
      <c r="AU33" s="320"/>
      <c r="AV33" s="192"/>
    </row>
    <row r="34" spans="1:48" x14ac:dyDescent="0.2">
      <c r="A34" s="3" t="s">
        <v>430</v>
      </c>
      <c r="B34" s="49"/>
      <c r="C34" s="730" t="s">
        <v>482</v>
      </c>
      <c r="D34" s="245"/>
      <c r="E34" s="261">
        <v>84.727864449999998</v>
      </c>
      <c r="F34" s="261">
        <v>0</v>
      </c>
      <c r="G34" s="298" t="str">
        <f t="shared" si="5"/>
        <v>NM</v>
      </c>
      <c r="H34" s="299"/>
      <c r="I34" s="857">
        <v>84.727864449999998</v>
      </c>
      <c r="J34" s="857">
        <v>0</v>
      </c>
      <c r="K34" s="858" t="str">
        <f t="shared" si="6"/>
        <v>NM</v>
      </c>
      <c r="L34" s="50"/>
      <c r="M34" s="50"/>
      <c r="N34" s="857">
        <v>0</v>
      </c>
      <c r="O34" s="53" t="str">
        <f t="shared" si="7"/>
        <v>NM</v>
      </c>
      <c r="P34" s="50"/>
      <c r="Q34" s="857">
        <v>0</v>
      </c>
      <c r="R34" s="857">
        <v>0</v>
      </c>
      <c r="S34" s="857">
        <v>0</v>
      </c>
      <c r="T34" s="857">
        <v>0</v>
      </c>
      <c r="U34" s="857">
        <v>0</v>
      </c>
      <c r="V34" s="857">
        <v>0</v>
      </c>
      <c r="W34" s="857">
        <v>0</v>
      </c>
      <c r="X34" s="237"/>
      <c r="Y34" s="857">
        <v>0</v>
      </c>
      <c r="Z34" s="857">
        <v>0</v>
      </c>
      <c r="AA34" s="857">
        <v>0</v>
      </c>
      <c r="AB34" s="857">
        <v>0</v>
      </c>
      <c r="AC34" s="857">
        <v>0</v>
      </c>
      <c r="AD34" s="857">
        <v>0</v>
      </c>
      <c r="AE34" s="857">
        <v>0</v>
      </c>
      <c r="AF34" s="192"/>
      <c r="AG34" s="857"/>
      <c r="AH34" s="857"/>
      <c r="AI34" s="857"/>
      <c r="AJ34" s="857"/>
      <c r="AK34" s="857"/>
      <c r="AL34" s="857"/>
      <c r="AM34" s="857"/>
      <c r="AN34" s="192"/>
      <c r="AO34" s="320"/>
      <c r="AP34" s="320"/>
      <c r="AQ34" s="320"/>
      <c r="AR34" s="320"/>
      <c r="AS34" s="320"/>
      <c r="AT34" s="320"/>
      <c r="AU34" s="320"/>
      <c r="AV34" s="192"/>
    </row>
    <row r="35" spans="1:48" x14ac:dyDescent="0.2">
      <c r="A35" s="3" t="s">
        <v>432</v>
      </c>
      <c r="B35" s="49"/>
      <c r="C35" s="731" t="s">
        <v>506</v>
      </c>
      <c r="D35" s="245"/>
      <c r="E35" s="262">
        <v>0</v>
      </c>
      <c r="F35" s="262">
        <v>0</v>
      </c>
      <c r="G35" s="300" t="str">
        <f t="shared" si="5"/>
        <v>NM</v>
      </c>
      <c r="H35" s="299"/>
      <c r="I35" s="859">
        <v>0</v>
      </c>
      <c r="J35" s="859">
        <v>0</v>
      </c>
      <c r="K35" s="860" t="str">
        <f t="shared" si="6"/>
        <v>NM</v>
      </c>
      <c r="L35" s="50"/>
      <c r="M35" s="50"/>
      <c r="N35" s="859">
        <v>0</v>
      </c>
      <c r="O35" s="842" t="str">
        <f t="shared" si="7"/>
        <v>NM</v>
      </c>
      <c r="P35" s="50"/>
      <c r="Q35" s="859">
        <v>0</v>
      </c>
      <c r="R35" s="859">
        <v>0</v>
      </c>
      <c r="S35" s="859">
        <v>0</v>
      </c>
      <c r="T35" s="859">
        <v>0</v>
      </c>
      <c r="U35" s="872">
        <v>0</v>
      </c>
      <c r="V35" s="859">
        <v>0</v>
      </c>
      <c r="W35" s="859">
        <v>0</v>
      </c>
      <c r="X35" s="237"/>
      <c r="Y35" s="859">
        <v>0</v>
      </c>
      <c r="Z35" s="859">
        <v>0</v>
      </c>
      <c r="AA35" s="859">
        <v>0</v>
      </c>
      <c r="AB35" s="859">
        <v>0</v>
      </c>
      <c r="AC35" s="859">
        <v>0</v>
      </c>
      <c r="AD35" s="859">
        <v>0</v>
      </c>
      <c r="AE35" s="859">
        <v>0</v>
      </c>
      <c r="AF35" s="192"/>
      <c r="AG35" s="859"/>
      <c r="AH35" s="859"/>
      <c r="AI35" s="859"/>
      <c r="AJ35" s="859"/>
      <c r="AK35" s="859"/>
      <c r="AL35" s="859"/>
      <c r="AM35" s="859"/>
      <c r="AN35" s="192"/>
      <c r="AO35" s="320"/>
      <c r="AP35" s="320"/>
      <c r="AQ35" s="320"/>
      <c r="AR35" s="320"/>
      <c r="AS35" s="320"/>
      <c r="AT35" s="320"/>
      <c r="AU35" s="320"/>
      <c r="AV35" s="192"/>
    </row>
    <row r="36" spans="1:48" ht="12" x14ac:dyDescent="0.25">
      <c r="A36" s="3" t="s">
        <v>43</v>
      </c>
      <c r="B36" s="18"/>
      <c r="C36" s="15" t="s">
        <v>222</v>
      </c>
      <c r="D36" s="249"/>
      <c r="E36" s="266">
        <v>498.07827797999977</v>
      </c>
      <c r="F36" s="266">
        <v>429.06231998999999</v>
      </c>
      <c r="G36" s="305">
        <f t="shared" si="2"/>
        <v>0.16085299215183535</v>
      </c>
      <c r="H36" s="306"/>
      <c r="I36" s="14">
        <v>498.07827797999977</v>
      </c>
      <c r="J36" s="14">
        <v>429.06231998999999</v>
      </c>
      <c r="K36" s="11">
        <f t="shared" si="3"/>
        <v>0.16085299215183535</v>
      </c>
      <c r="L36" s="27"/>
      <c r="M36" s="27"/>
      <c r="N36" s="14">
        <v>473.96242063999978</v>
      </c>
      <c r="O36" s="11">
        <f t="shared" si="7"/>
        <v>5.088137010406002E-2</v>
      </c>
      <c r="P36" s="27"/>
      <c r="Q36" s="14">
        <v>2041.2031595799999</v>
      </c>
      <c r="R36" s="14">
        <v>473.96242063999978</v>
      </c>
      <c r="S36" s="14">
        <v>1567.24073894</v>
      </c>
      <c r="T36" s="14">
        <v>327.13591709000002</v>
      </c>
      <c r="U36" s="14">
        <v>1240.10482185</v>
      </c>
      <c r="V36" s="14">
        <v>811.04250186000002</v>
      </c>
      <c r="W36" s="14">
        <v>429.06231998999999</v>
      </c>
      <c r="X36" s="238"/>
      <c r="Y36" s="14">
        <v>1667.8789062800004</v>
      </c>
      <c r="Z36" s="14">
        <v>431.22791495000035</v>
      </c>
      <c r="AA36" s="14">
        <v>1236.6509913299994</v>
      </c>
      <c r="AB36" s="14">
        <v>413.08999711000047</v>
      </c>
      <c r="AC36" s="14">
        <v>823.56099421999932</v>
      </c>
      <c r="AD36" s="14">
        <v>430.60858325999993</v>
      </c>
      <c r="AE36" s="14">
        <v>392.95241095999961</v>
      </c>
      <c r="AF36" s="192"/>
      <c r="AG36" s="14">
        <v>1510.6994364899999</v>
      </c>
      <c r="AH36" s="14">
        <v>386.95226125999983</v>
      </c>
      <c r="AI36" s="14">
        <v>1123.7471752300007</v>
      </c>
      <c r="AJ36" s="14">
        <v>356.34256023999967</v>
      </c>
      <c r="AK36" s="14">
        <v>767.40461499000139</v>
      </c>
      <c r="AL36" s="14">
        <v>397.66460420000084</v>
      </c>
      <c r="AM36" s="14">
        <v>369.7400107900005</v>
      </c>
      <c r="AN36" s="192"/>
      <c r="AO36" s="358"/>
      <c r="AP36" s="358"/>
      <c r="AQ36" s="358"/>
      <c r="AR36" s="358"/>
      <c r="AS36" s="358"/>
      <c r="AT36" s="358"/>
      <c r="AU36" s="358"/>
      <c r="AV36" s="192"/>
    </row>
    <row r="37" spans="1:48" ht="12" x14ac:dyDescent="0.25">
      <c r="A37" s="3" t="s">
        <v>44</v>
      </c>
      <c r="B37" s="18"/>
      <c r="C37" s="8" t="s">
        <v>223</v>
      </c>
      <c r="D37" s="192"/>
      <c r="E37" s="267">
        <v>509.86331031999975</v>
      </c>
      <c r="F37" s="267">
        <v>457.59788673000003</v>
      </c>
      <c r="G37" s="307">
        <f t="shared" si="2"/>
        <v>0.11421692517745008</v>
      </c>
      <c r="H37" s="306"/>
      <c r="I37" s="847">
        <v>509.86331031999975</v>
      </c>
      <c r="J37" s="847">
        <v>457.59788673000003</v>
      </c>
      <c r="K37" s="848">
        <f t="shared" si="3"/>
        <v>0.11421692517745008</v>
      </c>
      <c r="L37" s="27"/>
      <c r="M37" s="27"/>
      <c r="N37" s="847">
        <v>518.63669362999974</v>
      </c>
      <c r="O37" s="848">
        <f t="shared" si="7"/>
        <v>-1.6916241017568612E-2</v>
      </c>
      <c r="P37" s="27"/>
      <c r="Q37" s="847">
        <v>1858.1932250299997</v>
      </c>
      <c r="R37" s="847">
        <v>518.63669362999974</v>
      </c>
      <c r="S37" s="847">
        <v>1339.5565314</v>
      </c>
      <c r="T37" s="847">
        <v>445.05069607000007</v>
      </c>
      <c r="U37" s="847">
        <v>894.50583532999997</v>
      </c>
      <c r="V37" s="847">
        <v>436.90794859999994</v>
      </c>
      <c r="W37" s="847">
        <v>457.59788673000003</v>
      </c>
      <c r="X37" s="238"/>
      <c r="Y37" s="847">
        <v>1773.7526728985554</v>
      </c>
      <c r="Z37" s="847">
        <v>469.23334929188871</v>
      </c>
      <c r="AA37" s="847">
        <v>1304.5193236066661</v>
      </c>
      <c r="AB37" s="847">
        <v>436.83827639666714</v>
      </c>
      <c r="AC37" s="847">
        <v>867.68104720999929</v>
      </c>
      <c r="AD37" s="847">
        <v>454.33161354999993</v>
      </c>
      <c r="AE37" s="847">
        <v>413.34943365999959</v>
      </c>
      <c r="AF37" s="192"/>
      <c r="AG37" s="847">
        <v>1592.3434787199999</v>
      </c>
      <c r="AH37" s="847">
        <v>407.35597706999982</v>
      </c>
      <c r="AI37" s="847">
        <v>1184.9875016500007</v>
      </c>
      <c r="AJ37" s="847">
        <v>376.7533993299997</v>
      </c>
      <c r="AK37" s="847">
        <v>808.2341023200014</v>
      </c>
      <c r="AL37" s="847">
        <v>418.07898733000081</v>
      </c>
      <c r="AM37" s="847">
        <v>390.15511499000047</v>
      </c>
      <c r="AN37" s="192"/>
      <c r="AO37" s="358"/>
      <c r="AP37" s="358"/>
      <c r="AQ37" s="358"/>
      <c r="AR37" s="358"/>
      <c r="AS37" s="358"/>
      <c r="AT37" s="358"/>
      <c r="AU37" s="358"/>
      <c r="AV37" s="192"/>
    </row>
    <row r="38" spans="1:48" ht="12" hidden="1" x14ac:dyDescent="0.25">
      <c r="A38" s="3" t="s">
        <v>45</v>
      </c>
      <c r="B38" s="18"/>
      <c r="C38" s="12" t="s">
        <v>84</v>
      </c>
      <c r="D38" s="256"/>
      <c r="E38" s="269">
        <v>509.86331031999975</v>
      </c>
      <c r="F38" s="269">
        <v>457.59788673000003</v>
      </c>
      <c r="G38" s="309">
        <f t="shared" si="2"/>
        <v>0.11421692517745008</v>
      </c>
      <c r="H38" s="310"/>
      <c r="I38" s="851">
        <v>509.86331031999975</v>
      </c>
      <c r="J38" s="851">
        <v>457.59788673000003</v>
      </c>
      <c r="K38" s="852">
        <f t="shared" si="3"/>
        <v>0.11421692517745008</v>
      </c>
      <c r="L38" s="28"/>
      <c r="M38" s="28"/>
      <c r="N38" s="851">
        <v>518.63669362999974</v>
      </c>
      <c r="O38" s="852" t="str">
        <f>IF(ISERROR($I38*N48),"NM",IF($I38*N48&gt;0,IF($I38/N48&gt;2,"NM",$I38/N48-1),"NM"))</f>
        <v>NM</v>
      </c>
      <c r="P38" s="28"/>
      <c r="Q38" s="851">
        <v>1858.1932250299997</v>
      </c>
      <c r="R38" s="851">
        <v>518.63669362999974</v>
      </c>
      <c r="S38" s="851">
        <v>1339.5565314</v>
      </c>
      <c r="T38" s="851">
        <v>445.05069607000007</v>
      </c>
      <c r="U38" s="839">
        <v>894.50583532999997</v>
      </c>
      <c r="V38" s="851">
        <v>436.90794859999994</v>
      </c>
      <c r="W38" s="851">
        <v>457.59788673000003</v>
      </c>
      <c r="X38" s="255"/>
      <c r="Y38" s="851">
        <v>1773.7526728985554</v>
      </c>
      <c r="Z38" s="851">
        <v>469.23334929188871</v>
      </c>
      <c r="AA38" s="851">
        <v>1304.5193236066661</v>
      </c>
      <c r="AB38" s="851">
        <v>436.83827639666714</v>
      </c>
      <c r="AC38" s="851">
        <v>867.68104720999929</v>
      </c>
      <c r="AD38" s="851">
        <v>454.33161354999993</v>
      </c>
      <c r="AE38" s="851">
        <v>413.34943365999959</v>
      </c>
      <c r="AF38" s="192"/>
      <c r="AG38" s="851">
        <v>1592.3434787199999</v>
      </c>
      <c r="AH38" s="851">
        <v>407.35597706999982</v>
      </c>
      <c r="AI38" s="851">
        <v>1184.9875016500007</v>
      </c>
      <c r="AJ38" s="851">
        <v>376.7533993299997</v>
      </c>
      <c r="AK38" s="851">
        <v>808.2341023200014</v>
      </c>
      <c r="AL38" s="851">
        <v>418.07898733000081</v>
      </c>
      <c r="AM38" s="851">
        <v>390.15511499000047</v>
      </c>
      <c r="AN38" s="192"/>
      <c r="AO38" s="377"/>
      <c r="AP38" s="377"/>
      <c r="AQ38" s="377"/>
      <c r="AR38" s="377"/>
      <c r="AS38" s="377"/>
      <c r="AT38" s="377"/>
      <c r="AU38" s="377"/>
      <c r="AV38" s="192"/>
    </row>
    <row r="39" spans="1:48" ht="12" x14ac:dyDescent="0.25">
      <c r="A39" s="3" t="s">
        <v>46</v>
      </c>
      <c r="B39" s="18"/>
      <c r="C39" s="54" t="s">
        <v>85</v>
      </c>
      <c r="D39" s="245"/>
      <c r="E39" s="262">
        <v>-153.61864051000001</v>
      </c>
      <c r="F39" s="262">
        <v>-147.08888506</v>
      </c>
      <c r="G39" s="300">
        <f t="shared" si="2"/>
        <v>4.4393262260002953E-2</v>
      </c>
      <c r="H39" s="299"/>
      <c r="I39" s="52">
        <v>-153.61864051000001</v>
      </c>
      <c r="J39" s="52">
        <v>-147.08888506</v>
      </c>
      <c r="K39" s="53">
        <f t="shared" si="3"/>
        <v>4.4393262260002953E-2</v>
      </c>
      <c r="L39" s="50"/>
      <c r="M39" s="50"/>
      <c r="N39" s="52">
        <v>-128.21276412999998</v>
      </c>
      <c r="O39" s="53">
        <f>IF(ISERROR($I39*N39),"NM",IF($I39*N39&gt;0,IF($I39/N39&gt;2,"NM",$I39/N39-1),"NM"))</f>
        <v>0.19815403366734996</v>
      </c>
      <c r="P39" s="50"/>
      <c r="Q39" s="52">
        <v>-451.96558925999994</v>
      </c>
      <c r="R39" s="52">
        <v>-128.21276412999998</v>
      </c>
      <c r="S39" s="52">
        <v>-323.75282512999996</v>
      </c>
      <c r="T39" s="52">
        <v>-79.191882579999998</v>
      </c>
      <c r="U39" s="839">
        <v>-244.56094254999996</v>
      </c>
      <c r="V39" s="52">
        <v>-97.472057489999969</v>
      </c>
      <c r="W39" s="52">
        <v>-147.08888506</v>
      </c>
      <c r="X39" s="237"/>
      <c r="Y39" s="52">
        <v>-365.54856972999994</v>
      </c>
      <c r="Z39" s="52">
        <v>-82.637145699999991</v>
      </c>
      <c r="AA39" s="52">
        <v>-282.91142402999998</v>
      </c>
      <c r="AB39" s="52">
        <v>-94.182857540000015</v>
      </c>
      <c r="AC39" s="52">
        <v>-188.72856648999996</v>
      </c>
      <c r="AD39" s="52">
        <v>-97.930272729999956</v>
      </c>
      <c r="AE39" s="52">
        <v>-90.798293760000007</v>
      </c>
      <c r="AF39" s="192"/>
      <c r="AG39" s="52">
        <v>-350.75768943999981</v>
      </c>
      <c r="AH39" s="52">
        <v>-90.709601519999836</v>
      </c>
      <c r="AI39" s="52">
        <v>-260.04808792</v>
      </c>
      <c r="AJ39" s="52">
        <v>-81.812589239999994</v>
      </c>
      <c r="AK39" s="52">
        <v>-178.23549868000001</v>
      </c>
      <c r="AL39" s="52">
        <v>-93.063751369999977</v>
      </c>
      <c r="AM39" s="52">
        <v>-85.171747310000029</v>
      </c>
      <c r="AN39" s="192"/>
      <c r="AO39" s="320"/>
      <c r="AP39" s="320"/>
      <c r="AQ39" s="320"/>
      <c r="AR39" s="320"/>
      <c r="AS39" s="320"/>
      <c r="AT39" s="320"/>
      <c r="AU39" s="320"/>
      <c r="AV39" s="192"/>
    </row>
    <row r="40" spans="1:48" ht="12" x14ac:dyDescent="0.25">
      <c r="A40" s="3" t="s">
        <v>47</v>
      </c>
      <c r="B40" s="18"/>
      <c r="C40" s="83" t="s">
        <v>86</v>
      </c>
      <c r="D40" s="245"/>
      <c r="E40" s="263">
        <v>-159.84524768</v>
      </c>
      <c r="F40" s="263">
        <v>-155.13710482000002</v>
      </c>
      <c r="G40" s="301">
        <f t="shared" si="2"/>
        <v>3.0348270747108996E-2</v>
      </c>
      <c r="H40" s="299"/>
      <c r="I40" s="841">
        <v>-159.84524768</v>
      </c>
      <c r="J40" s="841">
        <v>-155.13710482000002</v>
      </c>
      <c r="K40" s="842">
        <f t="shared" si="3"/>
        <v>3.0348270747108996E-2</v>
      </c>
      <c r="L40" s="50"/>
      <c r="M40" s="50"/>
      <c r="N40" s="841">
        <v>-142.93673589999997</v>
      </c>
      <c r="O40" s="842">
        <f>IF(ISERROR($I40*N40),"NM",IF($I40*N40&gt;0,IF($I40/N40&gt;2,"NM",$I40/N40-1),"NM"))</f>
        <v>0.11829367498520038</v>
      </c>
      <c r="P40" s="50"/>
      <c r="Q40" s="841">
        <v>-507.49178209999997</v>
      </c>
      <c r="R40" s="841">
        <v>-142.93673589999997</v>
      </c>
      <c r="S40" s="841">
        <v>-364.55504619999999</v>
      </c>
      <c r="T40" s="841">
        <v>-105.75193487000001</v>
      </c>
      <c r="U40" s="841">
        <v>-258.80311132999998</v>
      </c>
      <c r="V40" s="841">
        <v>-103.66600650999999</v>
      </c>
      <c r="W40" s="841">
        <v>-155.13710482000002</v>
      </c>
      <c r="X40" s="237"/>
      <c r="Y40" s="841">
        <v>-394.29855228553816</v>
      </c>
      <c r="Z40" s="841">
        <v>-92.71522505062822</v>
      </c>
      <c r="AA40" s="841">
        <v>-301.58332723490997</v>
      </c>
      <c r="AB40" s="841">
        <v>-100.57683751497001</v>
      </c>
      <c r="AC40" s="841">
        <v>-201.00648971993996</v>
      </c>
      <c r="AD40" s="841">
        <v>-104.50562417496995</v>
      </c>
      <c r="AE40" s="841">
        <v>-96.500865544970011</v>
      </c>
      <c r="AF40" s="192"/>
      <c r="AG40" s="841">
        <v>-373.64122929999979</v>
      </c>
      <c r="AH40" s="841">
        <v>-96.428664067499838</v>
      </c>
      <c r="AI40" s="841">
        <v>-277.21256523250003</v>
      </c>
      <c r="AJ40" s="841">
        <v>-87.501667017499997</v>
      </c>
      <c r="AK40" s="841">
        <v>-189.71089821500001</v>
      </c>
      <c r="AL40" s="841">
        <v>-98.816882627499979</v>
      </c>
      <c r="AM40" s="841">
        <v>-90.894015587500036</v>
      </c>
      <c r="AN40" s="192"/>
      <c r="AO40" s="320"/>
      <c r="AP40" s="320"/>
      <c r="AQ40" s="320"/>
      <c r="AR40" s="320"/>
      <c r="AS40" s="320"/>
      <c r="AT40" s="320"/>
      <c r="AU40" s="320"/>
      <c r="AV40" s="192"/>
    </row>
    <row r="41" spans="1:48" ht="12" hidden="1" x14ac:dyDescent="0.25">
      <c r="A41" s="3" t="s">
        <v>48</v>
      </c>
      <c r="B41" s="18"/>
      <c r="C41" s="83" t="s">
        <v>87</v>
      </c>
      <c r="D41" s="245"/>
      <c r="E41" s="263">
        <v>-159.84524768</v>
      </c>
      <c r="F41" s="263">
        <v>-155.13710482000002</v>
      </c>
      <c r="G41" s="301">
        <f t="shared" si="2"/>
        <v>3.0348270747108996E-2</v>
      </c>
      <c r="H41" s="299"/>
      <c r="I41" s="841">
        <v>-159.84524768</v>
      </c>
      <c r="J41" s="841">
        <v>-155.13710482000002</v>
      </c>
      <c r="K41" s="842">
        <f t="shared" si="3"/>
        <v>3.0348270747108996E-2</v>
      </c>
      <c r="L41" s="50"/>
      <c r="M41" s="50"/>
      <c r="N41" s="841">
        <v>-142.93673589999997</v>
      </c>
      <c r="O41" s="842" t="str">
        <f>IF(ISERROR($I41*N51),"NM",IF($I41*N51&gt;0,IF($I41/N51&gt;2,"NM",$I41/N51-1),"NM"))</f>
        <v>NM</v>
      </c>
      <c r="P41" s="50"/>
      <c r="Q41" s="841">
        <v>-507.49178209999997</v>
      </c>
      <c r="R41" s="841">
        <v>-142.93673589999997</v>
      </c>
      <c r="S41" s="841">
        <v>-364.55504619999999</v>
      </c>
      <c r="T41" s="841">
        <v>-105.75193487000001</v>
      </c>
      <c r="U41" s="839">
        <v>-258.80311132999998</v>
      </c>
      <c r="V41" s="841">
        <v>-103.66600650999999</v>
      </c>
      <c r="W41" s="841">
        <v>-155.13710482000002</v>
      </c>
      <c r="X41" s="237"/>
      <c r="Y41" s="841">
        <v>-394.29855228553816</v>
      </c>
      <c r="Z41" s="841">
        <v>-92.71522505062822</v>
      </c>
      <c r="AA41" s="841">
        <v>-301.58332723490997</v>
      </c>
      <c r="AB41" s="841">
        <v>-100.57683751497001</v>
      </c>
      <c r="AC41" s="841">
        <v>-201.00648971993996</v>
      </c>
      <c r="AD41" s="841">
        <v>-104.50562417496995</v>
      </c>
      <c r="AE41" s="841">
        <v>-96.500865544970011</v>
      </c>
      <c r="AF41" s="192"/>
      <c r="AG41" s="841">
        <v>-373.64122929999979</v>
      </c>
      <c r="AH41" s="841">
        <v>-96.428664067499838</v>
      </c>
      <c r="AI41" s="841">
        <v>-277.21256523250003</v>
      </c>
      <c r="AJ41" s="841">
        <v>-87.501667017499997</v>
      </c>
      <c r="AK41" s="841">
        <v>-189.71089821500001</v>
      </c>
      <c r="AL41" s="841">
        <v>-98.816882627499979</v>
      </c>
      <c r="AM41" s="841">
        <v>-90.894015587500036</v>
      </c>
      <c r="AN41" s="192"/>
      <c r="AO41" s="320"/>
      <c r="AP41" s="320"/>
      <c r="AQ41" s="320"/>
      <c r="AR41" s="320"/>
      <c r="AS41" s="320"/>
      <c r="AT41" s="320"/>
      <c r="AU41" s="320"/>
      <c r="AV41" s="192"/>
    </row>
    <row r="42" spans="1:48" ht="12" x14ac:dyDescent="0.25">
      <c r="A42" s="3" t="s">
        <v>49</v>
      </c>
      <c r="B42" s="18"/>
      <c r="C42" s="54" t="s">
        <v>88</v>
      </c>
      <c r="D42" s="245"/>
      <c r="E42" s="262">
        <v>-0.52607792000000009</v>
      </c>
      <c r="F42" s="262">
        <v>0.91668713000000002</v>
      </c>
      <c r="G42" s="300" t="str">
        <f t="shared" si="2"/>
        <v>NM</v>
      </c>
      <c r="H42" s="299"/>
      <c r="I42" s="52">
        <v>-0.52607792000000009</v>
      </c>
      <c r="J42" s="52">
        <v>0.91668713000000002</v>
      </c>
      <c r="K42" s="53" t="str">
        <f t="shared" si="3"/>
        <v>NM</v>
      </c>
      <c r="L42" s="50"/>
      <c r="M42" s="50"/>
      <c r="N42" s="52">
        <v>0.25192077999999996</v>
      </c>
      <c r="O42" s="53" t="str">
        <f>IF(ISERROR($I42*N42),"NM",IF($I42*N42&gt;0,IF($I42/N42&gt;2,"NM",$I42/N42-1),"NM"))</f>
        <v>NM</v>
      </c>
      <c r="P42" s="50"/>
      <c r="Q42" s="52">
        <v>3.0040307099999999</v>
      </c>
      <c r="R42" s="52">
        <v>0.25192077999999996</v>
      </c>
      <c r="S42" s="52">
        <v>2.75210993</v>
      </c>
      <c r="T42" s="52">
        <v>0.61955785000000008</v>
      </c>
      <c r="U42" s="839">
        <v>2.13255208</v>
      </c>
      <c r="V42" s="52">
        <v>1.2158649500000001</v>
      </c>
      <c r="W42" s="52">
        <v>0.91668713000000002</v>
      </c>
      <c r="X42" s="237"/>
      <c r="Y42" s="52">
        <v>2.7913310100000008</v>
      </c>
      <c r="Z42" s="52">
        <v>0.81022729000000071</v>
      </c>
      <c r="AA42" s="52">
        <v>1.9811037200000001</v>
      </c>
      <c r="AB42" s="52">
        <v>0.84751324000000006</v>
      </c>
      <c r="AC42" s="52">
        <v>1.1335904800000001</v>
      </c>
      <c r="AD42" s="52">
        <v>0.33140102000000016</v>
      </c>
      <c r="AE42" s="52">
        <v>0.80218945999999991</v>
      </c>
      <c r="AF42" s="192"/>
      <c r="AG42" s="52">
        <v>4.9417788300000005</v>
      </c>
      <c r="AH42" s="52">
        <v>2.2916468299999999</v>
      </c>
      <c r="AI42" s="52">
        <v>2.6501320000000002</v>
      </c>
      <c r="AJ42" s="52">
        <v>1.1077176500000001</v>
      </c>
      <c r="AK42" s="52">
        <v>1.54241435</v>
      </c>
      <c r="AL42" s="52">
        <v>0.8759712300000001</v>
      </c>
      <c r="AM42" s="52">
        <v>0.66644311999999994</v>
      </c>
      <c r="AN42" s="192"/>
      <c r="AO42" s="320"/>
      <c r="AP42" s="320"/>
      <c r="AQ42" s="320"/>
      <c r="AR42" s="320"/>
      <c r="AS42" s="320"/>
      <c r="AT42" s="320"/>
      <c r="AU42" s="320"/>
      <c r="AV42" s="192"/>
    </row>
    <row r="43" spans="1:48" ht="12" x14ac:dyDescent="0.25">
      <c r="A43" s="3" t="s">
        <v>50</v>
      </c>
      <c r="B43" s="18"/>
      <c r="C43" s="15" t="s">
        <v>89</v>
      </c>
      <c r="D43" s="249"/>
      <c r="E43" s="266">
        <v>343.9335595499997</v>
      </c>
      <c r="F43" s="266">
        <v>282.89012205999995</v>
      </c>
      <c r="G43" s="305">
        <f t="shared" si="2"/>
        <v>0.21578497349247372</v>
      </c>
      <c r="H43" s="306"/>
      <c r="I43" s="14">
        <v>343.9335595499997</v>
      </c>
      <c r="J43" s="14">
        <v>282.89012205999995</v>
      </c>
      <c r="K43" s="11">
        <f t="shared" si="3"/>
        <v>0.21578497349247372</v>
      </c>
      <c r="L43" s="27"/>
      <c r="M43" s="27"/>
      <c r="N43" s="14">
        <v>346.00157728999977</v>
      </c>
      <c r="O43" s="11">
        <f>IF(ISERROR($I43*N43),"NM",IF($I43*N43&gt;0,IF($I43/N43&gt;2,"NM",$I43/N43-1),"NM"))</f>
        <v>-5.9769026378361234E-3</v>
      </c>
      <c r="P43" s="27"/>
      <c r="Q43" s="14">
        <v>1592.2416010299999</v>
      </c>
      <c r="R43" s="14">
        <v>346.00157728999977</v>
      </c>
      <c r="S43" s="14">
        <v>1246.24002374</v>
      </c>
      <c r="T43" s="14">
        <v>248.56359236000003</v>
      </c>
      <c r="U43" s="14">
        <v>997.67643137999994</v>
      </c>
      <c r="V43" s="14">
        <v>714.78630931999999</v>
      </c>
      <c r="W43" s="14">
        <v>282.89012205999995</v>
      </c>
      <c r="X43" s="238"/>
      <c r="Y43" s="14">
        <v>1305.1216675600006</v>
      </c>
      <c r="Z43" s="14">
        <v>349.40099654000034</v>
      </c>
      <c r="AA43" s="14">
        <v>955.72067101999937</v>
      </c>
      <c r="AB43" s="14">
        <v>319.75465281000049</v>
      </c>
      <c r="AC43" s="14">
        <v>635.96601820999933</v>
      </c>
      <c r="AD43" s="14">
        <v>333.00971154999996</v>
      </c>
      <c r="AE43" s="14">
        <v>302.95630665999965</v>
      </c>
      <c r="AF43" s="192"/>
      <c r="AG43" s="14">
        <v>1164.8835258800002</v>
      </c>
      <c r="AH43" s="14">
        <v>298.53430657000001</v>
      </c>
      <c r="AI43" s="14">
        <v>866.34921931000076</v>
      </c>
      <c r="AJ43" s="14">
        <v>275.63768864999969</v>
      </c>
      <c r="AK43" s="14">
        <v>590.71153066000136</v>
      </c>
      <c r="AL43" s="14">
        <v>305.47682406000087</v>
      </c>
      <c r="AM43" s="14">
        <v>285.23470660000049</v>
      </c>
      <c r="AN43" s="192"/>
      <c r="AO43" s="358"/>
      <c r="AP43" s="358"/>
      <c r="AQ43" s="358"/>
      <c r="AR43" s="358"/>
      <c r="AS43" s="358"/>
      <c r="AT43" s="358"/>
      <c r="AU43" s="358"/>
      <c r="AV43" s="192"/>
    </row>
    <row r="44" spans="1:48" ht="12" x14ac:dyDescent="0.25">
      <c r="A44" s="3" t="s">
        <v>51</v>
      </c>
      <c r="B44" s="18"/>
      <c r="C44" s="9" t="s">
        <v>90</v>
      </c>
      <c r="D44" s="250"/>
      <c r="E44" s="267">
        <v>349.49198471999978</v>
      </c>
      <c r="F44" s="267">
        <v>303.37746903999999</v>
      </c>
      <c r="G44" s="307">
        <f t="shared" si="2"/>
        <v>0.15200375896708285</v>
      </c>
      <c r="H44" s="306"/>
      <c r="I44" s="847">
        <v>349.49198471999978</v>
      </c>
      <c r="J44" s="847">
        <v>303.37746903999999</v>
      </c>
      <c r="K44" s="848">
        <f t="shared" si="3"/>
        <v>0.15200375896708285</v>
      </c>
      <c r="L44" s="27"/>
      <c r="M44" s="27"/>
      <c r="N44" s="847">
        <v>375.9518785099998</v>
      </c>
      <c r="O44" s="848">
        <f>IF(ISERROR($I44*N44),"NM",IF($I44*N44&gt;0,IF($I44/N44&gt;2,"NM",$I44/N44-1),"NM"))</f>
        <v>-7.0381065509947272E-2</v>
      </c>
      <c r="P44" s="27"/>
      <c r="Q44" s="847">
        <v>1353.7054736399998</v>
      </c>
      <c r="R44" s="847">
        <v>375.9518785099998</v>
      </c>
      <c r="S44" s="847">
        <v>977.75359513000012</v>
      </c>
      <c r="T44" s="847">
        <v>339.91831904999998</v>
      </c>
      <c r="U44" s="847">
        <v>637.83527608000009</v>
      </c>
      <c r="V44" s="847">
        <v>334.45780704000003</v>
      </c>
      <c r="W44" s="847">
        <v>303.37746903999999</v>
      </c>
      <c r="X44" s="238"/>
      <c r="Y44" s="847">
        <v>1382.2454516230173</v>
      </c>
      <c r="Z44" s="847">
        <v>377.32835153126047</v>
      </c>
      <c r="AA44" s="847">
        <v>1004.9171000917561</v>
      </c>
      <c r="AB44" s="847">
        <v>337.10895212169714</v>
      </c>
      <c r="AC44" s="847">
        <v>667.80814797005928</v>
      </c>
      <c r="AD44" s="847">
        <v>350.15739039502995</v>
      </c>
      <c r="AE44" s="847">
        <v>317.65075757502967</v>
      </c>
      <c r="AF44" s="192"/>
      <c r="AG44" s="847">
        <v>1223.6440282500002</v>
      </c>
      <c r="AH44" s="847">
        <v>313.21895983249999</v>
      </c>
      <c r="AI44" s="847">
        <v>910.42506841750082</v>
      </c>
      <c r="AJ44" s="847">
        <v>290.3594499624997</v>
      </c>
      <c r="AK44" s="847">
        <v>620.06561845500141</v>
      </c>
      <c r="AL44" s="847">
        <v>320.13807593250084</v>
      </c>
      <c r="AM44" s="847">
        <v>299.92754252250052</v>
      </c>
      <c r="AN44" s="192"/>
      <c r="AO44" s="358"/>
      <c r="AP44" s="358"/>
      <c r="AQ44" s="358"/>
      <c r="AR44" s="358"/>
      <c r="AS44" s="358"/>
      <c r="AT44" s="358"/>
      <c r="AU44" s="358"/>
      <c r="AV44" s="192"/>
    </row>
    <row r="45" spans="1:48" ht="12" hidden="1" x14ac:dyDescent="0.25">
      <c r="A45" s="3" t="s">
        <v>52</v>
      </c>
      <c r="B45" s="18"/>
      <c r="C45" s="20" t="s">
        <v>91</v>
      </c>
      <c r="D45" s="256"/>
      <c r="E45" s="272">
        <v>349.49198471999978</v>
      </c>
      <c r="F45" s="272">
        <v>303.37746903999999</v>
      </c>
      <c r="G45" s="315">
        <f t="shared" si="2"/>
        <v>0.15200375896708285</v>
      </c>
      <c r="H45" s="310"/>
      <c r="I45" s="861">
        <v>349.49198471999978</v>
      </c>
      <c r="J45" s="861">
        <v>303.37746903999999</v>
      </c>
      <c r="K45" s="862">
        <f t="shared" si="3"/>
        <v>0.15200375896708285</v>
      </c>
      <c r="L45" s="28"/>
      <c r="M45" s="28"/>
      <c r="N45" s="861">
        <v>375.9518785099998</v>
      </c>
      <c r="O45" s="862">
        <f>IF(ISERROR($I45*N45),"NM",IF($I45*N45&gt;0,IF($I45/N45&gt;2,"NM",$I45/N45-1),"NM"))</f>
        <v>-7.0381065509947272E-2</v>
      </c>
      <c r="P45" s="28"/>
      <c r="Q45" s="861">
        <v>1353.7054736399998</v>
      </c>
      <c r="R45" s="861">
        <v>375.9518785099998</v>
      </c>
      <c r="S45" s="861">
        <v>977.75359513000012</v>
      </c>
      <c r="T45" s="861">
        <v>339.91831904999998</v>
      </c>
      <c r="U45" s="839">
        <v>637.83527608000009</v>
      </c>
      <c r="V45" s="861">
        <v>334.45780704000003</v>
      </c>
      <c r="W45" s="861">
        <v>303.37746903999999</v>
      </c>
      <c r="X45" s="255"/>
      <c r="Y45" s="861">
        <v>1382.2454516230173</v>
      </c>
      <c r="Z45" s="861">
        <v>377.32835153126047</v>
      </c>
      <c r="AA45" s="861">
        <v>1004.9171000917561</v>
      </c>
      <c r="AB45" s="861">
        <v>337.10895212169714</v>
      </c>
      <c r="AC45" s="861">
        <v>667.80814797005928</v>
      </c>
      <c r="AD45" s="861">
        <v>350.15739039502995</v>
      </c>
      <c r="AE45" s="861">
        <v>317.65075757502967</v>
      </c>
      <c r="AF45" s="192"/>
      <c r="AG45" s="861">
        <v>1223.6440282500002</v>
      </c>
      <c r="AH45" s="861">
        <v>313.21895983249999</v>
      </c>
      <c r="AI45" s="861">
        <v>910.42506841750082</v>
      </c>
      <c r="AJ45" s="861">
        <v>290.3594499624997</v>
      </c>
      <c r="AK45" s="861">
        <v>620.06561845500141</v>
      </c>
      <c r="AL45" s="861">
        <v>320.13807593250084</v>
      </c>
      <c r="AM45" s="861">
        <v>299.92754252250052</v>
      </c>
      <c r="AN45" s="192"/>
      <c r="AO45" s="377"/>
      <c r="AP45" s="377"/>
      <c r="AQ45" s="377"/>
      <c r="AR45" s="377"/>
      <c r="AS45" s="377"/>
      <c r="AT45" s="377"/>
      <c r="AU45" s="377"/>
      <c r="AV45" s="192"/>
    </row>
    <row r="46" spans="1:48" x14ac:dyDescent="0.2">
      <c r="A46" s="3"/>
      <c r="C46" s="23"/>
      <c r="D46" s="192"/>
      <c r="E46" s="194"/>
      <c r="F46" s="194"/>
      <c r="G46" s="316"/>
      <c r="H46" s="317"/>
      <c r="I46" s="251"/>
      <c r="J46" s="251"/>
      <c r="K46" s="252"/>
      <c r="L46" s="863"/>
      <c r="M46" s="863"/>
      <c r="N46" s="251"/>
      <c r="O46" s="252"/>
      <c r="P46" s="253"/>
      <c r="Q46" s="251"/>
      <c r="R46" s="251"/>
      <c r="S46" s="251"/>
      <c r="T46" s="251"/>
      <c r="U46" s="251"/>
      <c r="V46" s="251"/>
      <c r="W46" s="251"/>
      <c r="X46" s="251"/>
      <c r="Y46" s="251"/>
      <c r="Z46" s="251"/>
      <c r="AA46" s="251"/>
      <c r="AB46" s="251"/>
      <c r="AC46" s="251"/>
      <c r="AD46" s="251"/>
      <c r="AE46" s="251"/>
      <c r="AF46" s="192"/>
      <c r="AG46" s="251"/>
      <c r="AH46" s="251"/>
      <c r="AI46" s="251"/>
      <c r="AJ46" s="251"/>
      <c r="AK46" s="251"/>
      <c r="AL46" s="251"/>
      <c r="AM46" s="251"/>
      <c r="AN46" s="192"/>
      <c r="AO46" s="273"/>
      <c r="AP46" s="273"/>
      <c r="AQ46" s="273"/>
      <c r="AR46" s="273"/>
      <c r="AS46" s="273"/>
      <c r="AT46" s="273"/>
      <c r="AU46" s="273"/>
      <c r="AV46" s="192"/>
    </row>
    <row r="47" spans="1:48" x14ac:dyDescent="0.2">
      <c r="A47" s="3"/>
      <c r="C47" s="23"/>
      <c r="D47" s="192"/>
      <c r="E47" s="194"/>
      <c r="F47" s="194"/>
      <c r="G47" s="316"/>
      <c r="H47" s="317"/>
      <c r="I47" s="251"/>
      <c r="J47" s="251"/>
      <c r="K47" s="252"/>
      <c r="L47" s="863"/>
      <c r="M47" s="863"/>
      <c r="N47" s="251"/>
      <c r="O47" s="252"/>
      <c r="P47" s="253"/>
      <c r="Q47" s="251"/>
      <c r="R47" s="251"/>
      <c r="S47" s="251"/>
      <c r="T47" s="251"/>
      <c r="U47" s="251"/>
      <c r="V47" s="251"/>
      <c r="W47" s="251"/>
      <c r="X47" s="251"/>
      <c r="Y47" s="251"/>
      <c r="Z47" s="251"/>
      <c r="AA47" s="251"/>
      <c r="AB47" s="251"/>
      <c r="AC47" s="251"/>
      <c r="AD47" s="251"/>
      <c r="AE47" s="251"/>
      <c r="AF47" s="192"/>
      <c r="AG47" s="251"/>
      <c r="AH47" s="251"/>
      <c r="AI47" s="251"/>
      <c r="AJ47" s="251"/>
      <c r="AK47" s="251"/>
      <c r="AL47" s="251"/>
      <c r="AM47" s="251"/>
      <c r="AN47" s="192"/>
      <c r="AO47" s="273"/>
      <c r="AP47" s="273"/>
      <c r="AQ47" s="273"/>
      <c r="AR47" s="273"/>
      <c r="AS47" s="273"/>
      <c r="AT47" s="273"/>
      <c r="AU47" s="273"/>
      <c r="AV47" s="192"/>
    </row>
    <row r="48" spans="1:48" ht="12" x14ac:dyDescent="0.25">
      <c r="A48" s="3"/>
      <c r="C48" s="21" t="s">
        <v>65</v>
      </c>
      <c r="D48" s="192"/>
      <c r="E48" s="274"/>
      <c r="F48" s="274"/>
      <c r="G48" s="318"/>
      <c r="H48" s="319"/>
      <c r="I48" s="22"/>
      <c r="J48" s="22"/>
      <c r="K48" s="34"/>
      <c r="L48" s="24"/>
      <c r="M48" s="24"/>
      <c r="N48" s="864"/>
      <c r="O48" s="34"/>
      <c r="P48" s="24"/>
      <c r="Q48" s="22"/>
      <c r="R48" s="22"/>
      <c r="S48" s="22"/>
      <c r="T48" s="22"/>
      <c r="U48" s="22"/>
      <c r="V48" s="22"/>
      <c r="W48" s="22"/>
      <c r="X48" s="13"/>
      <c r="Y48" s="22"/>
      <c r="Z48" s="22"/>
      <c r="AA48" s="22"/>
      <c r="AB48" s="22"/>
      <c r="AC48" s="22"/>
      <c r="AD48" s="22"/>
      <c r="AE48" s="22"/>
      <c r="AF48" s="192"/>
      <c r="AG48" s="22"/>
      <c r="AH48" s="22"/>
      <c r="AI48" s="22"/>
      <c r="AJ48" s="22"/>
      <c r="AK48" s="22"/>
      <c r="AL48" s="22"/>
      <c r="AM48" s="22"/>
      <c r="AN48" s="192"/>
      <c r="AO48" s="194"/>
      <c r="AP48" s="194"/>
      <c r="AQ48" s="194"/>
      <c r="AR48" s="194"/>
      <c r="AS48" s="194"/>
      <c r="AT48" s="194"/>
      <c r="AU48" s="194"/>
      <c r="AV48" s="192"/>
    </row>
    <row r="49" spans="1:48" x14ac:dyDescent="0.2">
      <c r="A49" s="3" t="s">
        <v>53</v>
      </c>
      <c r="B49" s="49"/>
      <c r="C49" s="54" t="s">
        <v>246</v>
      </c>
      <c r="D49" s="245"/>
      <c r="E49" s="275">
        <v>-18.376647599999998</v>
      </c>
      <c r="F49" s="275">
        <v>-18.314302480000002</v>
      </c>
      <c r="G49" s="300">
        <f t="shared" si="2"/>
        <v>3.4041766028534148E-3</v>
      </c>
      <c r="H49" s="299"/>
      <c r="I49" s="865">
        <v>-18.376647599999998</v>
      </c>
      <c r="J49" s="865">
        <v>-18.314302480000002</v>
      </c>
      <c r="K49" s="53">
        <f t="shared" ref="K49:K67" si="8">IF(ISERROR($E49*J49),"NM",IF($E49*J49&gt;0,IF(I49/J49&gt;2,"NM",I49/J49-1),"NM"))</f>
        <v>3.4041766028534148E-3</v>
      </c>
      <c r="L49" s="50"/>
      <c r="M49" s="50"/>
      <c r="N49" s="865">
        <v>-18.357533929999999</v>
      </c>
      <c r="O49" s="53">
        <f t="shared" ref="O49:O68" si="9">IF(ISERROR($I49*N49),"NM",IF($I49*N49&gt;0,IF($I49/N49&gt;2,"NM",$I49/N49-1),"NM"))</f>
        <v>1.0411894142690059E-3</v>
      </c>
      <c r="P49" s="50"/>
      <c r="Q49" s="865">
        <v>-73.36309593</v>
      </c>
      <c r="R49" s="865">
        <v>-18.357533929999999</v>
      </c>
      <c r="S49" s="865">
        <v>-55.005561999999998</v>
      </c>
      <c r="T49" s="865">
        <v>-18.349339000000001</v>
      </c>
      <c r="U49" s="839">
        <v>-36.656222999999997</v>
      </c>
      <c r="V49" s="865">
        <v>-18.341920519999999</v>
      </c>
      <c r="W49" s="865">
        <v>-18.314302480000002</v>
      </c>
      <c r="X49" s="257"/>
      <c r="Y49" s="865">
        <v>-87.332927460000008</v>
      </c>
      <c r="Z49" s="865">
        <v>-22.331261849999997</v>
      </c>
      <c r="AA49" s="865">
        <v>-65.001665610000003</v>
      </c>
      <c r="AB49" s="865">
        <v>-22.314612619999998</v>
      </c>
      <c r="AC49" s="865">
        <v>-42.687052989999998</v>
      </c>
      <c r="AD49" s="865">
        <v>-22.290030289999997</v>
      </c>
      <c r="AE49" s="865">
        <v>-20.397022700000001</v>
      </c>
      <c r="AF49" s="192"/>
      <c r="AG49" s="865">
        <v>-81.644042229999997</v>
      </c>
      <c r="AH49" s="865">
        <v>-20.403715809999994</v>
      </c>
      <c r="AI49" s="865">
        <v>-61.240326420000009</v>
      </c>
      <c r="AJ49" s="865">
        <v>-20.410839090000003</v>
      </c>
      <c r="AK49" s="865">
        <v>-40.829487330000006</v>
      </c>
      <c r="AL49" s="865">
        <v>-20.414383130000001</v>
      </c>
      <c r="AM49" s="865">
        <v>-20.415104200000002</v>
      </c>
      <c r="AN49" s="192"/>
      <c r="AO49" s="376"/>
      <c r="AP49" s="376"/>
      <c r="AQ49" s="376"/>
      <c r="AR49" s="376"/>
      <c r="AS49" s="376"/>
      <c r="AT49" s="376"/>
      <c r="AU49" s="376"/>
      <c r="AV49" s="192"/>
    </row>
    <row r="50" spans="1:48" x14ac:dyDescent="0.2">
      <c r="A50" s="3" t="s">
        <v>54</v>
      </c>
      <c r="B50" s="49"/>
      <c r="C50" s="54" t="s">
        <v>247</v>
      </c>
      <c r="D50" s="245"/>
      <c r="E50" s="275">
        <v>-1.55</v>
      </c>
      <c r="F50" s="275">
        <v>-1.47500023</v>
      </c>
      <c r="G50" s="300">
        <f t="shared" si="2"/>
        <v>5.0847293766184798E-2</v>
      </c>
      <c r="H50" s="299"/>
      <c r="I50" s="865">
        <v>-1.55</v>
      </c>
      <c r="J50" s="865">
        <v>-1.47500023</v>
      </c>
      <c r="K50" s="53">
        <f t="shared" si="8"/>
        <v>5.0847293766184798E-2</v>
      </c>
      <c r="L50" s="50"/>
      <c r="M50" s="50"/>
      <c r="N50" s="865">
        <v>-1.4749999999999999</v>
      </c>
      <c r="O50" s="53">
        <f t="shared" si="9"/>
        <v>5.0847457627118731E-2</v>
      </c>
      <c r="P50" s="50"/>
      <c r="Q50" s="865">
        <v>-5.9</v>
      </c>
      <c r="R50" s="865">
        <v>-1.4749999999999999</v>
      </c>
      <c r="S50" s="865">
        <v>-4.4249999999999998</v>
      </c>
      <c r="T50" s="865">
        <v>-1.4749999999999999</v>
      </c>
      <c r="U50" s="839">
        <v>-2.95</v>
      </c>
      <c r="V50" s="865">
        <v>-1.4749997699999999</v>
      </c>
      <c r="W50" s="865">
        <v>-1.47500023</v>
      </c>
      <c r="X50" s="257"/>
      <c r="Y50" s="865">
        <v>-4.3</v>
      </c>
      <c r="Z50" s="865">
        <v>-1.4333333333333331</v>
      </c>
      <c r="AA50" s="865">
        <v>-2.8666666666666667</v>
      </c>
      <c r="AB50" s="865">
        <v>-1.4336666666666666</v>
      </c>
      <c r="AC50" s="865">
        <v>-1.4330000000000001</v>
      </c>
      <c r="AD50" s="865">
        <v>-1.4330000000000001</v>
      </c>
      <c r="AE50" s="865">
        <v>0</v>
      </c>
      <c r="AF50" s="192"/>
      <c r="AG50" s="865">
        <v>0</v>
      </c>
      <c r="AH50" s="865">
        <v>0</v>
      </c>
      <c r="AI50" s="865">
        <v>0</v>
      </c>
      <c r="AJ50" s="865">
        <v>0</v>
      </c>
      <c r="AK50" s="865">
        <v>0</v>
      </c>
      <c r="AL50" s="865">
        <v>0</v>
      </c>
      <c r="AM50" s="865">
        <v>0</v>
      </c>
      <c r="AN50" s="192"/>
      <c r="AO50" s="376"/>
      <c r="AP50" s="376"/>
      <c r="AQ50" s="376"/>
      <c r="AR50" s="376"/>
      <c r="AS50" s="376"/>
      <c r="AT50" s="376"/>
      <c r="AU50" s="376"/>
      <c r="AV50" s="192"/>
    </row>
    <row r="51" spans="1:48" ht="12" x14ac:dyDescent="0.25">
      <c r="A51" s="3" t="s">
        <v>236</v>
      </c>
      <c r="B51" s="18"/>
      <c r="C51" s="54" t="s">
        <v>248</v>
      </c>
      <c r="D51" s="245"/>
      <c r="E51" s="275">
        <v>5.6366067699999993</v>
      </c>
      <c r="F51" s="275">
        <v>6.1877170600000007</v>
      </c>
      <c r="G51" s="300">
        <f t="shared" si="2"/>
        <v>-8.9065205253583635E-2</v>
      </c>
      <c r="H51" s="320"/>
      <c r="I51" s="865">
        <v>5.6366067699999993</v>
      </c>
      <c r="J51" s="865">
        <v>6.1877170600000007</v>
      </c>
      <c r="K51" s="53">
        <f t="shared" si="8"/>
        <v>-8.9065205253583635E-2</v>
      </c>
      <c r="L51" s="237"/>
      <c r="M51" s="237"/>
      <c r="N51" s="865">
        <v>5.6068006499999985</v>
      </c>
      <c r="O51" s="53">
        <f t="shared" si="9"/>
        <v>5.3160655890271968E-3</v>
      </c>
      <c r="P51" s="237"/>
      <c r="Q51" s="865">
        <v>22.413224560000003</v>
      </c>
      <c r="R51" s="865">
        <v>5.6068006499999985</v>
      </c>
      <c r="S51" s="865">
        <v>16.806423910000003</v>
      </c>
      <c r="T51" s="865">
        <v>5.6047576300000017</v>
      </c>
      <c r="U51" s="839">
        <v>11.201666280000001</v>
      </c>
      <c r="V51" s="865">
        <v>5.0139492199999998</v>
      </c>
      <c r="W51" s="865">
        <v>6.1877170600000007</v>
      </c>
      <c r="X51" s="257"/>
      <c r="Y51" s="865">
        <v>25.12596837988</v>
      </c>
      <c r="Z51" s="865">
        <v>6.4540651749700002</v>
      </c>
      <c r="AA51" s="865">
        <v>18.671903204910002</v>
      </c>
      <c r="AB51" s="865">
        <v>6.3939799749699997</v>
      </c>
      <c r="AC51" s="865">
        <v>12.277923229940001</v>
      </c>
      <c r="AD51" s="865">
        <v>6.5753514449699999</v>
      </c>
      <c r="AE51" s="865">
        <v>5.7025717849699999</v>
      </c>
      <c r="AF51" s="192"/>
      <c r="AG51" s="865">
        <v>22.883539860000003</v>
      </c>
      <c r="AH51" s="865">
        <v>5.7190625475000019</v>
      </c>
      <c r="AI51" s="865">
        <v>17.164477312500001</v>
      </c>
      <c r="AJ51" s="865">
        <v>5.6890777774999997</v>
      </c>
      <c r="AK51" s="865">
        <v>11.475399535000001</v>
      </c>
      <c r="AL51" s="865">
        <v>5.7531312574999998</v>
      </c>
      <c r="AM51" s="865">
        <v>5.7222682775000004</v>
      </c>
      <c r="AN51" s="192"/>
      <c r="AO51" s="376"/>
      <c r="AP51" s="376"/>
      <c r="AQ51" s="376"/>
      <c r="AR51" s="376"/>
      <c r="AS51" s="376"/>
      <c r="AT51" s="376"/>
      <c r="AU51" s="376"/>
      <c r="AV51" s="192"/>
    </row>
    <row r="52" spans="1:48" ht="12" x14ac:dyDescent="0.25">
      <c r="A52" s="3" t="s">
        <v>237</v>
      </c>
      <c r="B52" s="18"/>
      <c r="C52" s="54" t="s">
        <v>249</v>
      </c>
      <c r="D52" s="245"/>
      <c r="E52" s="275">
        <v>-68.286999999999992</v>
      </c>
      <c r="F52" s="275">
        <v>0</v>
      </c>
      <c r="G52" s="300" t="str">
        <f t="shared" si="2"/>
        <v>NM</v>
      </c>
      <c r="H52" s="320"/>
      <c r="I52" s="865">
        <v>-68.286999999999992</v>
      </c>
      <c r="J52" s="865">
        <v>0</v>
      </c>
      <c r="K52" s="53" t="str">
        <f t="shared" si="8"/>
        <v>NM</v>
      </c>
      <c r="L52" s="237"/>
      <c r="M52" s="237"/>
      <c r="N52" s="865">
        <v>3.8888553300000002</v>
      </c>
      <c r="O52" s="53" t="str">
        <f t="shared" si="9"/>
        <v>NM</v>
      </c>
      <c r="P52" s="237"/>
      <c r="Q52" s="865">
        <v>3.8888553300000002</v>
      </c>
      <c r="R52" s="865">
        <v>3.8888553300000002</v>
      </c>
      <c r="S52" s="865">
        <v>0</v>
      </c>
      <c r="T52" s="865">
        <v>0</v>
      </c>
      <c r="U52" s="865">
        <v>0</v>
      </c>
      <c r="V52" s="865">
        <v>0</v>
      </c>
      <c r="W52" s="865">
        <v>0</v>
      </c>
      <c r="X52" s="257"/>
      <c r="Y52" s="865">
        <v>0</v>
      </c>
      <c r="Z52" s="865">
        <v>0</v>
      </c>
      <c r="AA52" s="865">
        <v>0</v>
      </c>
      <c r="AB52" s="865">
        <v>0</v>
      </c>
      <c r="AC52" s="865">
        <v>0</v>
      </c>
      <c r="AD52" s="865">
        <v>0</v>
      </c>
      <c r="AE52" s="865">
        <v>0</v>
      </c>
      <c r="AF52" s="192"/>
      <c r="AG52" s="865">
        <v>0</v>
      </c>
      <c r="AH52" s="865">
        <v>0</v>
      </c>
      <c r="AI52" s="865">
        <v>0</v>
      </c>
      <c r="AJ52" s="865">
        <v>0</v>
      </c>
      <c r="AK52" s="865">
        <v>0</v>
      </c>
      <c r="AL52" s="865">
        <v>0</v>
      </c>
      <c r="AM52" s="865">
        <v>0</v>
      </c>
      <c r="AN52" s="192"/>
      <c r="AO52" s="376"/>
      <c r="AP52" s="376"/>
      <c r="AQ52" s="376"/>
      <c r="AR52" s="376"/>
      <c r="AS52" s="376"/>
      <c r="AT52" s="376"/>
      <c r="AU52" s="376"/>
      <c r="AV52" s="192"/>
    </row>
    <row r="53" spans="1:48" ht="12" x14ac:dyDescent="0.25">
      <c r="A53" s="30" t="s">
        <v>238</v>
      </c>
      <c r="C53" s="244" t="s">
        <v>250</v>
      </c>
      <c r="D53" s="192"/>
      <c r="E53" s="276">
        <v>-82.577040829999987</v>
      </c>
      <c r="F53" s="276">
        <v>-15.389585650000001</v>
      </c>
      <c r="G53" s="321" t="str">
        <f t="shared" si="2"/>
        <v>NM</v>
      </c>
      <c r="H53" s="306"/>
      <c r="I53" s="866">
        <v>-82.577040829999987</v>
      </c>
      <c r="J53" s="866">
        <v>-15.389585650000001</v>
      </c>
      <c r="K53" s="867" t="str">
        <f t="shared" si="8"/>
        <v>NM</v>
      </c>
      <c r="L53" s="27"/>
      <c r="M53" s="27"/>
      <c r="N53" s="866">
        <v>-10.33687795</v>
      </c>
      <c r="O53" s="867" t="str">
        <f t="shared" si="9"/>
        <v>NM</v>
      </c>
      <c r="P53" s="27"/>
      <c r="Q53" s="866">
        <v>-52.961016040000004</v>
      </c>
      <c r="R53" s="866">
        <v>-10.33687795</v>
      </c>
      <c r="S53" s="866">
        <v>-42.624138090000002</v>
      </c>
      <c r="T53" s="866">
        <v>-14.21958137</v>
      </c>
      <c r="U53" s="866">
        <v>-28.404556720000002</v>
      </c>
      <c r="V53" s="866">
        <v>-13.014971070000001</v>
      </c>
      <c r="W53" s="866">
        <v>-15.389585650000001</v>
      </c>
      <c r="X53" s="258"/>
      <c r="Y53" s="866">
        <v>-66.506959080119998</v>
      </c>
      <c r="Z53" s="866">
        <v>-17.31053000836333</v>
      </c>
      <c r="AA53" s="866">
        <v>-49.196429071756661</v>
      </c>
      <c r="AB53" s="866">
        <v>-17.354299311696664</v>
      </c>
      <c r="AC53" s="866">
        <v>-31.842129760059997</v>
      </c>
      <c r="AD53" s="866">
        <v>-17.147678845029997</v>
      </c>
      <c r="AE53" s="866">
        <v>-14.69445091503</v>
      </c>
      <c r="AF53" s="192"/>
      <c r="AG53" s="866">
        <v>-58.760502369999998</v>
      </c>
      <c r="AH53" s="866">
        <v>-14.684653262499992</v>
      </c>
      <c r="AI53" s="866">
        <v>-44.075849107500005</v>
      </c>
      <c r="AJ53" s="866">
        <v>-14.721761312500004</v>
      </c>
      <c r="AK53" s="866">
        <v>-29.354087795000005</v>
      </c>
      <c r="AL53" s="866">
        <v>-14.661251872500001</v>
      </c>
      <c r="AM53" s="866">
        <v>-14.692835922500002</v>
      </c>
      <c r="AN53" s="192"/>
      <c r="AO53" s="378"/>
      <c r="AP53" s="378"/>
      <c r="AQ53" s="378"/>
      <c r="AR53" s="378"/>
      <c r="AS53" s="378"/>
      <c r="AT53" s="378"/>
      <c r="AU53" s="378"/>
      <c r="AV53" s="192"/>
    </row>
    <row r="54" spans="1:48" x14ac:dyDescent="0.2">
      <c r="A54" s="3" t="s">
        <v>55</v>
      </c>
      <c r="B54" s="49"/>
      <c r="C54" s="54" t="s">
        <v>269</v>
      </c>
      <c r="D54" s="245"/>
      <c r="E54" s="275">
        <v>-1.099120794378905E-14</v>
      </c>
      <c r="F54" s="275">
        <v>-8.7462640300000203</v>
      </c>
      <c r="G54" s="300">
        <f t="shared" si="2"/>
        <v>-0.99999999999999878</v>
      </c>
      <c r="H54" s="299"/>
      <c r="I54" s="865">
        <v>-1.099120794378905E-14</v>
      </c>
      <c r="J54" s="865">
        <v>-8.7462640300000203</v>
      </c>
      <c r="K54" s="53">
        <f t="shared" si="8"/>
        <v>-0.99999999999999878</v>
      </c>
      <c r="L54" s="50"/>
      <c r="M54" s="50"/>
      <c r="N54" s="865">
        <v>-20.221071649999924</v>
      </c>
      <c r="O54" s="53">
        <f t="shared" si="9"/>
        <v>-0.99999999999999944</v>
      </c>
      <c r="P54" s="50"/>
      <c r="Q54" s="865">
        <v>-107.67852254000002</v>
      </c>
      <c r="R54" s="865">
        <v>-20.221071649999924</v>
      </c>
      <c r="S54" s="865">
        <v>-87.457450890000089</v>
      </c>
      <c r="T54" s="865">
        <v>-80.499186860000052</v>
      </c>
      <c r="U54" s="839">
        <v>-6.958264030000036</v>
      </c>
      <c r="V54" s="865">
        <v>1.7879999999999843</v>
      </c>
      <c r="W54" s="865">
        <v>-8.7462640300000203</v>
      </c>
      <c r="X54" s="257"/>
      <c r="Y54" s="865">
        <v>-13.048605825221724</v>
      </c>
      <c r="Z54" s="865">
        <v>-13.048605825221724</v>
      </c>
      <c r="AA54" s="865">
        <v>0</v>
      </c>
      <c r="AB54" s="865">
        <v>0</v>
      </c>
      <c r="AC54" s="865">
        <v>0</v>
      </c>
      <c r="AD54" s="865">
        <v>0</v>
      </c>
      <c r="AE54" s="865">
        <v>0</v>
      </c>
      <c r="AF54" s="192"/>
      <c r="AG54" s="865">
        <v>0</v>
      </c>
      <c r="AH54" s="865">
        <v>0</v>
      </c>
      <c r="AI54" s="865">
        <v>0</v>
      </c>
      <c r="AJ54" s="865">
        <v>0</v>
      </c>
      <c r="AK54" s="865">
        <v>0</v>
      </c>
      <c r="AL54" s="865">
        <v>0</v>
      </c>
      <c r="AM54" s="865">
        <v>0</v>
      </c>
      <c r="AN54" s="192"/>
      <c r="AO54" s="376"/>
      <c r="AP54" s="376"/>
      <c r="AQ54" s="376"/>
      <c r="AR54" s="376"/>
      <c r="AS54" s="376"/>
      <c r="AT54" s="376"/>
      <c r="AU54" s="376"/>
      <c r="AV54" s="192"/>
    </row>
    <row r="55" spans="1:48" x14ac:dyDescent="0.2">
      <c r="A55" s="137" t="s">
        <v>186</v>
      </c>
      <c r="B55" s="49"/>
      <c r="C55" s="54" t="s">
        <v>251</v>
      </c>
      <c r="D55" s="245"/>
      <c r="E55" s="275">
        <v>-1.7879999999999998</v>
      </c>
      <c r="F55" s="275">
        <v>0</v>
      </c>
      <c r="G55" s="300" t="str">
        <f>IF(ISERROR($E55*F55),"NM",IF($E55*F55&gt;0,IF(E55/F55&gt;2,"NM",E55/F55-1),"NM"))</f>
        <v>NM</v>
      </c>
      <c r="H55" s="299"/>
      <c r="I55" s="865">
        <v>-1.7879999999999998</v>
      </c>
      <c r="J55" s="865">
        <v>0</v>
      </c>
      <c r="K55" s="53" t="str">
        <f t="shared" si="8"/>
        <v>NM</v>
      </c>
      <c r="L55" s="50"/>
      <c r="M55" s="50"/>
      <c r="N55" s="865">
        <v>-1.7879999999999998</v>
      </c>
      <c r="O55" s="53">
        <f t="shared" si="9"/>
        <v>0</v>
      </c>
      <c r="P55" s="50"/>
      <c r="Q55" s="865">
        <v>-7.1529999999999996</v>
      </c>
      <c r="R55" s="865">
        <v>-1.7879999999999998</v>
      </c>
      <c r="S55" s="865">
        <v>-5.3650000000000002</v>
      </c>
      <c r="T55" s="865">
        <v>-1.788</v>
      </c>
      <c r="U55" s="839">
        <v>-3.577</v>
      </c>
      <c r="V55" s="865">
        <v>-3.577</v>
      </c>
      <c r="W55" s="865">
        <v>0</v>
      </c>
      <c r="X55" s="257"/>
      <c r="Y55" s="865">
        <v>-1.1922333333333333</v>
      </c>
      <c r="Z55" s="865">
        <v>-1.1922333333333333</v>
      </c>
      <c r="AA55" s="865">
        <v>0</v>
      </c>
      <c r="AB55" s="865">
        <v>0</v>
      </c>
      <c r="AC55" s="865">
        <v>0</v>
      </c>
      <c r="AD55" s="865">
        <v>0</v>
      </c>
      <c r="AE55" s="865">
        <v>0</v>
      </c>
      <c r="AF55" s="192"/>
      <c r="AG55" s="865">
        <v>0</v>
      </c>
      <c r="AH55" s="865">
        <v>0</v>
      </c>
      <c r="AI55" s="865">
        <v>0</v>
      </c>
      <c r="AJ55" s="865">
        <v>0</v>
      </c>
      <c r="AK55" s="865">
        <v>0</v>
      </c>
      <c r="AL55" s="865">
        <v>0</v>
      </c>
      <c r="AM55" s="865">
        <v>0</v>
      </c>
      <c r="AN55" s="192"/>
      <c r="AO55" s="376"/>
      <c r="AP55" s="376"/>
      <c r="AQ55" s="376"/>
      <c r="AR55" s="376"/>
      <c r="AS55" s="376"/>
      <c r="AT55" s="376"/>
      <c r="AU55" s="376"/>
      <c r="AV55" s="192"/>
    </row>
    <row r="56" spans="1:48" ht="12" x14ac:dyDescent="0.25">
      <c r="A56" s="3" t="s">
        <v>239</v>
      </c>
      <c r="B56" s="18"/>
      <c r="C56" s="54" t="s">
        <v>261</v>
      </c>
      <c r="D56" s="245"/>
      <c r="E56" s="275">
        <v>0.59000039999999998</v>
      </c>
      <c r="F56" s="275">
        <v>1.8605026999999998</v>
      </c>
      <c r="G56" s="300">
        <f t="shared" si="2"/>
        <v>-0.68288119119633639</v>
      </c>
      <c r="H56" s="320"/>
      <c r="I56" s="865">
        <v>0.59000039999999998</v>
      </c>
      <c r="J56" s="865">
        <v>1.8605026999999998</v>
      </c>
      <c r="K56" s="53">
        <f t="shared" si="8"/>
        <v>-0.68288119119633639</v>
      </c>
      <c r="L56" s="237"/>
      <c r="M56" s="237"/>
      <c r="N56" s="865">
        <v>9.1171711200000018</v>
      </c>
      <c r="O56" s="53">
        <f t="shared" si="9"/>
        <v>-0.93528690070259424</v>
      </c>
      <c r="P56" s="237"/>
      <c r="Q56" s="865">
        <v>33.112968280000004</v>
      </c>
      <c r="R56" s="865">
        <v>9.1171711200000018</v>
      </c>
      <c r="S56" s="865">
        <v>23.995797160000002</v>
      </c>
      <c r="T56" s="865">
        <v>20.955294660000003</v>
      </c>
      <c r="U56" s="839">
        <v>3.0405024999999997</v>
      </c>
      <c r="V56" s="865">
        <v>1.1799998</v>
      </c>
      <c r="W56" s="865">
        <v>1.8605026999999998</v>
      </c>
      <c r="X56" s="257"/>
      <c r="Y56" s="865">
        <v>3.6240141756582323</v>
      </c>
      <c r="Z56" s="865">
        <v>3.6240141756582323</v>
      </c>
      <c r="AA56" s="865">
        <v>0</v>
      </c>
      <c r="AB56" s="865">
        <v>0</v>
      </c>
      <c r="AC56" s="865">
        <v>0</v>
      </c>
      <c r="AD56" s="865">
        <v>0</v>
      </c>
      <c r="AE56" s="865">
        <v>0</v>
      </c>
      <c r="AF56" s="192"/>
      <c r="AG56" s="865">
        <v>0</v>
      </c>
      <c r="AH56" s="865">
        <v>0</v>
      </c>
      <c r="AI56" s="865">
        <v>0</v>
      </c>
      <c r="AJ56" s="865">
        <v>0</v>
      </c>
      <c r="AK56" s="865">
        <v>0</v>
      </c>
      <c r="AL56" s="865">
        <v>0</v>
      </c>
      <c r="AM56" s="865">
        <v>0</v>
      </c>
      <c r="AN56" s="192"/>
      <c r="AO56" s="376"/>
      <c r="AP56" s="376"/>
      <c r="AQ56" s="376"/>
      <c r="AR56" s="376"/>
      <c r="AS56" s="376"/>
      <c r="AT56" s="376"/>
      <c r="AU56" s="376"/>
      <c r="AV56" s="192"/>
    </row>
    <row r="57" spans="1:48" ht="12" x14ac:dyDescent="0.25">
      <c r="A57" s="30" t="s">
        <v>240</v>
      </c>
      <c r="C57" s="244" t="s">
        <v>252</v>
      </c>
      <c r="D57" s="192"/>
      <c r="E57" s="276">
        <v>-1.1979995999999999</v>
      </c>
      <c r="F57" s="276">
        <v>-5.0977613300000009</v>
      </c>
      <c r="G57" s="321">
        <f t="shared" si="2"/>
        <v>-0.76499496103321896</v>
      </c>
      <c r="H57" s="306"/>
      <c r="I57" s="866">
        <v>-1.1979995999999999</v>
      </c>
      <c r="J57" s="866">
        <v>-5.0977613300000009</v>
      </c>
      <c r="K57" s="867">
        <f t="shared" si="8"/>
        <v>-0.76499496103321896</v>
      </c>
      <c r="L57" s="27"/>
      <c r="M57" s="27"/>
      <c r="N57" s="866">
        <v>-12.891900530000001</v>
      </c>
      <c r="O57" s="867">
        <f t="shared" si="9"/>
        <v>-0.90707346855398052</v>
      </c>
      <c r="P57" s="27"/>
      <c r="Q57" s="866">
        <v>-81.718554259999991</v>
      </c>
      <c r="R57" s="866">
        <v>-12.891900530000001</v>
      </c>
      <c r="S57" s="866">
        <v>-68.82665372999999</v>
      </c>
      <c r="T57" s="866">
        <v>-61.331892199999992</v>
      </c>
      <c r="U57" s="866">
        <v>-7.4947615300000008</v>
      </c>
      <c r="V57" s="866">
        <v>-2.3970001999999999</v>
      </c>
      <c r="W57" s="866">
        <v>-5.0977613300000009</v>
      </c>
      <c r="X57" s="258"/>
      <c r="Y57" s="866">
        <v>-10.616824982896826</v>
      </c>
      <c r="Z57" s="866">
        <v>-10.616824982896826</v>
      </c>
      <c r="AA57" s="866">
        <v>0</v>
      </c>
      <c r="AB57" s="866">
        <v>0</v>
      </c>
      <c r="AC57" s="866">
        <v>0</v>
      </c>
      <c r="AD57" s="866">
        <v>0</v>
      </c>
      <c r="AE57" s="866">
        <v>0</v>
      </c>
      <c r="AF57" s="192"/>
      <c r="AG57" s="866">
        <v>0</v>
      </c>
      <c r="AH57" s="866">
        <v>0</v>
      </c>
      <c r="AI57" s="866">
        <v>0</v>
      </c>
      <c r="AJ57" s="866">
        <v>0</v>
      </c>
      <c r="AK57" s="866">
        <v>0</v>
      </c>
      <c r="AL57" s="866">
        <v>0</v>
      </c>
      <c r="AM57" s="866">
        <v>0</v>
      </c>
      <c r="AN57" s="192"/>
      <c r="AO57" s="378"/>
      <c r="AP57" s="378"/>
      <c r="AQ57" s="378"/>
      <c r="AR57" s="378"/>
      <c r="AS57" s="378"/>
      <c r="AT57" s="378"/>
      <c r="AU57" s="378"/>
      <c r="AV57" s="192"/>
    </row>
    <row r="58" spans="1:48" x14ac:dyDescent="0.2">
      <c r="A58" s="3" t="s">
        <v>453</v>
      </c>
      <c r="B58" s="49"/>
      <c r="C58" s="54" t="s">
        <v>458</v>
      </c>
      <c r="D58" s="245"/>
      <c r="E58" s="275">
        <v>-6.5112491900000009</v>
      </c>
      <c r="F58" s="275">
        <v>0</v>
      </c>
      <c r="G58" s="300" t="str">
        <f>IF(ISERROR($E58*F58),"NM",IF($E58*F58&gt;0,IF(E58/F58&gt;2,"NM",E58/F58-1),"NM"))</f>
        <v>NM</v>
      </c>
      <c r="H58" s="299"/>
      <c r="I58" s="865">
        <v>-6.5112491900000009</v>
      </c>
      <c r="J58" s="865">
        <v>0</v>
      </c>
      <c r="K58" s="53" t="str">
        <f t="shared" ref="K58:K63" si="10">IF(ISERROR($E58*J58),"NM",IF($E58*J58&gt;0,IF(I58/J58&gt;2,"NM",I58/J58-1),"NM"))</f>
        <v>NM</v>
      </c>
      <c r="L58" s="50"/>
      <c r="M58" s="50"/>
      <c r="N58" s="865">
        <v>-6.7217267400000011</v>
      </c>
      <c r="O58" s="53">
        <f>IF(ISERROR($I58*N58),"NM",IF($I58*N58&gt;0,IF($I58/N58&gt;2,"NM",$I58/N58-1),"NM"))</f>
        <v>-3.1313017940387211E-2</v>
      </c>
      <c r="P58" s="50"/>
      <c r="Q58" s="865">
        <v>-28.843779929999997</v>
      </c>
      <c r="R58" s="865">
        <v>-6.7217267400000011</v>
      </c>
      <c r="S58" s="865">
        <v>-22.122053190000003</v>
      </c>
      <c r="T58" s="865">
        <v>-15.47952712</v>
      </c>
      <c r="U58" s="839">
        <v>-6.6425260700000024</v>
      </c>
      <c r="V58" s="865">
        <v>-6.6425260700000024</v>
      </c>
      <c r="W58" s="865">
        <v>0</v>
      </c>
      <c r="X58" s="257"/>
      <c r="Y58" s="865">
        <v>0</v>
      </c>
      <c r="Z58" s="865">
        <v>0</v>
      </c>
      <c r="AA58" s="865">
        <v>0</v>
      </c>
      <c r="AB58" s="865">
        <v>0</v>
      </c>
      <c r="AC58" s="865">
        <v>0</v>
      </c>
      <c r="AD58" s="865">
        <v>0</v>
      </c>
      <c r="AE58" s="865">
        <v>0</v>
      </c>
      <c r="AF58" s="192"/>
      <c r="AG58" s="865">
        <v>0</v>
      </c>
      <c r="AH58" s="865">
        <v>0</v>
      </c>
      <c r="AI58" s="865">
        <v>0</v>
      </c>
      <c r="AJ58" s="865">
        <v>0</v>
      </c>
      <c r="AK58" s="865">
        <v>0</v>
      </c>
      <c r="AL58" s="865">
        <v>0</v>
      </c>
      <c r="AM58" s="865">
        <v>0</v>
      </c>
      <c r="AN58" s="192"/>
      <c r="AO58" s="376"/>
      <c r="AP58" s="376"/>
      <c r="AQ58" s="376"/>
      <c r="AR58" s="376"/>
      <c r="AS58" s="376"/>
      <c r="AT58" s="376"/>
      <c r="AU58" s="376"/>
      <c r="AV58" s="192"/>
    </row>
    <row r="59" spans="1:48" ht="12" x14ac:dyDescent="0.2">
      <c r="A59" s="3" t="s">
        <v>454</v>
      </c>
      <c r="B59" s="49"/>
      <c r="C59" s="54" t="s">
        <v>459</v>
      </c>
      <c r="D59" s="245"/>
      <c r="E59" s="275">
        <v>84.727864449999998</v>
      </c>
      <c r="F59" s="275">
        <v>0</v>
      </c>
      <c r="G59" s="300" t="str">
        <f>IF(ISERROR($E59*F59),"NM",IF($E59*F59&gt;0,IF(E59/F59&gt;2,"NM",E59/F59-1),"NM"))</f>
        <v>NM</v>
      </c>
      <c r="H59" s="299"/>
      <c r="I59" s="865">
        <v>84.727864449999998</v>
      </c>
      <c r="J59" s="865">
        <v>0</v>
      </c>
      <c r="K59" s="53" t="str">
        <f t="shared" si="10"/>
        <v>NM</v>
      </c>
      <c r="L59" s="50"/>
      <c r="M59" s="50"/>
      <c r="N59" s="865">
        <v>0</v>
      </c>
      <c r="O59" s="53" t="str">
        <f>IF(ISERROR($I59*N59),"NM",IF($I59*N59&gt;0,IF($I59/N59&gt;2,"NM",$I59/N59-1),"NM"))</f>
        <v>NM</v>
      </c>
      <c r="P59" s="50"/>
      <c r="Q59" s="873"/>
      <c r="R59" s="873"/>
      <c r="S59" s="873"/>
      <c r="T59" s="873"/>
      <c r="U59" s="874"/>
      <c r="V59" s="873"/>
      <c r="W59" s="873"/>
      <c r="X59" s="257"/>
      <c r="Y59" s="873"/>
      <c r="Z59" s="873"/>
      <c r="AA59" s="873"/>
      <c r="AB59" s="873"/>
      <c r="AC59" s="873"/>
      <c r="AD59" s="873"/>
      <c r="AE59" s="873"/>
      <c r="AF59" s="192"/>
      <c r="AG59" s="866">
        <v>0</v>
      </c>
      <c r="AH59" s="866">
        <v>0</v>
      </c>
      <c r="AI59" s="866">
        <v>0</v>
      </c>
      <c r="AJ59" s="866">
        <v>0</v>
      </c>
      <c r="AK59" s="866">
        <v>0</v>
      </c>
      <c r="AL59" s="866">
        <v>0</v>
      </c>
      <c r="AM59" s="866"/>
      <c r="AN59" s="192"/>
      <c r="AO59" s="376"/>
      <c r="AP59" s="376"/>
      <c r="AQ59" s="376"/>
      <c r="AR59" s="376"/>
      <c r="AS59" s="376"/>
      <c r="AT59" s="376"/>
      <c r="AU59" s="376"/>
      <c r="AV59" s="192"/>
    </row>
    <row r="60" spans="1:48" ht="12" x14ac:dyDescent="0.25">
      <c r="A60" s="30" t="s">
        <v>457</v>
      </c>
      <c r="C60" s="244" t="s">
        <v>456</v>
      </c>
      <c r="D60" s="192"/>
      <c r="E60" s="276">
        <v>78.216615259999998</v>
      </c>
      <c r="F60" s="276">
        <v>0</v>
      </c>
      <c r="G60" s="321" t="str">
        <f>IF(ISERROR($E60*F60),"NM",IF($E60*F60&gt;0,IF(E60/F60&gt;2,"NM",E60/F60-1),"NM"))</f>
        <v>NM</v>
      </c>
      <c r="H60" s="306"/>
      <c r="I60" s="866">
        <v>78.216615259999998</v>
      </c>
      <c r="J60" s="866">
        <v>0</v>
      </c>
      <c r="K60" s="867" t="str">
        <f t="shared" si="10"/>
        <v>NM</v>
      </c>
      <c r="L60" s="27"/>
      <c r="M60" s="27"/>
      <c r="N60" s="866">
        <v>-6.7217267400000011</v>
      </c>
      <c r="O60" s="867" t="str">
        <f t="shared" si="9"/>
        <v>NM</v>
      </c>
      <c r="P60" s="27"/>
      <c r="Q60" s="866">
        <v>-28.843779929999997</v>
      </c>
      <c r="R60" s="866">
        <v>-6.7217267400000011</v>
      </c>
      <c r="S60" s="866">
        <v>-22.122053190000003</v>
      </c>
      <c r="T60" s="866">
        <v>-15.47952712</v>
      </c>
      <c r="U60" s="866">
        <v>-6.6425260700000024</v>
      </c>
      <c r="V60" s="866">
        <v>-6.6425260700000024</v>
      </c>
      <c r="W60" s="866">
        <v>0</v>
      </c>
      <c r="X60" s="258"/>
      <c r="Y60" s="866">
        <v>0</v>
      </c>
      <c r="Z60" s="866">
        <v>0</v>
      </c>
      <c r="AA60" s="866">
        <v>0</v>
      </c>
      <c r="AB60" s="866">
        <v>0</v>
      </c>
      <c r="AC60" s="866">
        <v>0</v>
      </c>
      <c r="AD60" s="866">
        <v>0</v>
      </c>
      <c r="AE60" s="866">
        <v>0</v>
      </c>
      <c r="AF60" s="192"/>
      <c r="AG60" s="866">
        <v>0</v>
      </c>
      <c r="AH60" s="866">
        <v>0</v>
      </c>
      <c r="AI60" s="866">
        <v>0</v>
      </c>
      <c r="AJ60" s="866">
        <v>0</v>
      </c>
      <c r="AK60" s="866">
        <v>0</v>
      </c>
      <c r="AL60" s="866">
        <v>0</v>
      </c>
      <c r="AM60" s="866"/>
      <c r="AN60" s="192"/>
      <c r="AO60" s="378"/>
      <c r="AP60" s="378"/>
      <c r="AQ60" s="378"/>
      <c r="AR60" s="378"/>
      <c r="AS60" s="378"/>
      <c r="AT60" s="378"/>
      <c r="AU60" s="378"/>
      <c r="AV60" s="192"/>
    </row>
    <row r="61" spans="1:48" ht="12" hidden="1" outlineLevel="1" x14ac:dyDescent="0.2">
      <c r="A61" s="137" t="s">
        <v>241</v>
      </c>
      <c r="B61" s="49"/>
      <c r="C61" s="54" t="s">
        <v>253</v>
      </c>
      <c r="D61" s="245"/>
      <c r="E61" s="275">
        <v>0</v>
      </c>
      <c r="F61" s="275">
        <v>0</v>
      </c>
      <c r="G61" s="300" t="str">
        <f>IF(ISERROR($E61*F61),"NM",IF($E61*F61&gt;0,IF(E61/F61&gt;2,"NM",E61/F61-1),"NM"))</f>
        <v>NM</v>
      </c>
      <c r="H61" s="299"/>
      <c r="I61" s="866">
        <v>0</v>
      </c>
      <c r="J61" s="866">
        <v>0</v>
      </c>
      <c r="K61" s="867" t="str">
        <f t="shared" si="10"/>
        <v>NM</v>
      </c>
      <c r="L61" s="50"/>
      <c r="M61" s="50"/>
      <c r="N61" s="865">
        <v>2.04E-4</v>
      </c>
      <c r="O61" s="53" t="str">
        <f t="shared" si="9"/>
        <v>NM</v>
      </c>
      <c r="P61" s="50"/>
      <c r="Q61" s="865">
        <v>402.05947761999994</v>
      </c>
      <c r="R61" s="865">
        <v>2.04E-4</v>
      </c>
      <c r="S61" s="865">
        <v>402.05927361999994</v>
      </c>
      <c r="T61" s="865">
        <v>-0.32372600000000001</v>
      </c>
      <c r="U61" s="839">
        <v>402.38299961999996</v>
      </c>
      <c r="V61" s="865">
        <v>402.38299961999996</v>
      </c>
      <c r="W61" s="865"/>
      <c r="X61" s="257"/>
      <c r="Y61" s="865"/>
      <c r="Z61" s="865"/>
      <c r="AA61" s="865"/>
      <c r="AB61" s="865"/>
      <c r="AC61" s="865"/>
      <c r="AD61" s="865"/>
      <c r="AE61" s="865"/>
      <c r="AF61" s="192"/>
      <c r="AG61" s="866">
        <v>0</v>
      </c>
      <c r="AH61" s="866">
        <v>0</v>
      </c>
      <c r="AI61" s="866">
        <v>0</v>
      </c>
      <c r="AJ61" s="866">
        <v>0</v>
      </c>
      <c r="AK61" s="866">
        <v>0</v>
      </c>
      <c r="AL61" s="866">
        <v>0</v>
      </c>
      <c r="AM61" s="866"/>
      <c r="AN61" s="192"/>
      <c r="AO61" s="376"/>
      <c r="AP61" s="376"/>
      <c r="AQ61" s="376"/>
      <c r="AR61" s="376"/>
      <c r="AS61" s="376"/>
      <c r="AT61" s="376"/>
      <c r="AU61" s="376"/>
      <c r="AV61" s="192"/>
    </row>
    <row r="62" spans="1:48" ht="12" hidden="1" outlineLevel="1" x14ac:dyDescent="0.2">
      <c r="A62" s="137" t="s">
        <v>242</v>
      </c>
      <c r="B62" s="49"/>
      <c r="C62" s="54" t="s">
        <v>254</v>
      </c>
      <c r="D62" s="245"/>
      <c r="E62" s="275">
        <v>0</v>
      </c>
      <c r="F62" s="275">
        <v>0</v>
      </c>
      <c r="G62" s="300" t="str">
        <f t="shared" si="2"/>
        <v>NM</v>
      </c>
      <c r="H62" s="299"/>
      <c r="I62" s="866">
        <v>0</v>
      </c>
      <c r="J62" s="866">
        <v>0</v>
      </c>
      <c r="K62" s="867" t="str">
        <f t="shared" si="10"/>
        <v>NM</v>
      </c>
      <c r="L62" s="50"/>
      <c r="M62" s="50"/>
      <c r="N62" s="865">
        <v>0</v>
      </c>
      <c r="O62" s="53" t="str">
        <f t="shared" si="9"/>
        <v>NM</v>
      </c>
      <c r="P62" s="50"/>
      <c r="Q62" s="865">
        <v>0</v>
      </c>
      <c r="R62" s="865">
        <v>0</v>
      </c>
      <c r="S62" s="865">
        <v>0</v>
      </c>
      <c r="T62" s="865">
        <v>0</v>
      </c>
      <c r="U62" s="839">
        <v>0</v>
      </c>
      <c r="V62" s="865">
        <v>0</v>
      </c>
      <c r="W62" s="865"/>
      <c r="X62" s="257"/>
      <c r="Y62" s="865"/>
      <c r="Z62" s="865"/>
      <c r="AA62" s="865"/>
      <c r="AB62" s="865"/>
      <c r="AC62" s="865"/>
      <c r="AD62" s="865"/>
      <c r="AE62" s="865"/>
      <c r="AF62" s="192"/>
      <c r="AG62" s="866">
        <v>0</v>
      </c>
      <c r="AH62" s="866">
        <v>0</v>
      </c>
      <c r="AI62" s="866">
        <v>0</v>
      </c>
      <c r="AJ62" s="866">
        <v>0</v>
      </c>
      <c r="AK62" s="866">
        <v>0</v>
      </c>
      <c r="AL62" s="866">
        <v>0</v>
      </c>
      <c r="AM62" s="866"/>
      <c r="AN62" s="192"/>
      <c r="AO62" s="376"/>
      <c r="AP62" s="376"/>
      <c r="AQ62" s="376"/>
      <c r="AR62" s="376"/>
      <c r="AS62" s="376"/>
      <c r="AT62" s="376"/>
      <c r="AU62" s="376"/>
      <c r="AV62" s="192"/>
    </row>
    <row r="63" spans="1:48" ht="12" collapsed="1" x14ac:dyDescent="0.25">
      <c r="A63" s="30" t="s">
        <v>203</v>
      </c>
      <c r="C63" s="244" t="s">
        <v>255</v>
      </c>
      <c r="D63" s="192"/>
      <c r="E63" s="276">
        <v>0</v>
      </c>
      <c r="F63" s="276"/>
      <c r="G63" s="321" t="str">
        <f t="shared" si="2"/>
        <v>NM</v>
      </c>
      <c r="H63" s="306"/>
      <c r="I63" s="866">
        <v>0</v>
      </c>
      <c r="J63" s="866">
        <v>0</v>
      </c>
      <c r="K63" s="867" t="str">
        <f t="shared" si="10"/>
        <v>NM</v>
      </c>
      <c r="L63" s="27"/>
      <c r="M63" s="27"/>
      <c r="N63" s="866">
        <v>2.04E-4</v>
      </c>
      <c r="O63" s="867" t="str">
        <f t="shared" si="9"/>
        <v>NM</v>
      </c>
      <c r="P63" s="27"/>
      <c r="Q63" s="866">
        <v>402.05947761999994</v>
      </c>
      <c r="R63" s="866">
        <v>2.04E-4</v>
      </c>
      <c r="S63" s="866">
        <v>402.05927361999994</v>
      </c>
      <c r="T63" s="866">
        <v>-0.32372600000000001</v>
      </c>
      <c r="U63" s="866">
        <v>402.38299961999996</v>
      </c>
      <c r="V63" s="866">
        <v>402.38299961999996</v>
      </c>
      <c r="W63" s="866"/>
      <c r="X63" s="258"/>
      <c r="Y63" s="866">
        <v>0</v>
      </c>
      <c r="Z63" s="866">
        <v>0</v>
      </c>
      <c r="AA63" s="866">
        <v>0</v>
      </c>
      <c r="AB63" s="866">
        <v>0</v>
      </c>
      <c r="AC63" s="866">
        <v>0</v>
      </c>
      <c r="AD63" s="866">
        <v>0</v>
      </c>
      <c r="AE63" s="866"/>
      <c r="AF63" s="192"/>
      <c r="AG63" s="866">
        <v>0</v>
      </c>
      <c r="AH63" s="866">
        <v>0</v>
      </c>
      <c r="AI63" s="866">
        <v>0</v>
      </c>
      <c r="AJ63" s="866">
        <v>0</v>
      </c>
      <c r="AK63" s="866">
        <v>0</v>
      </c>
      <c r="AL63" s="866">
        <v>0</v>
      </c>
      <c r="AM63" s="866"/>
      <c r="AN63" s="192"/>
      <c r="AO63" s="378"/>
      <c r="AP63" s="378"/>
      <c r="AQ63" s="378"/>
      <c r="AR63" s="378"/>
      <c r="AS63" s="378"/>
      <c r="AT63" s="378"/>
      <c r="AU63" s="378"/>
      <c r="AV63" s="192"/>
    </row>
    <row r="64" spans="1:48" x14ac:dyDescent="0.2">
      <c r="D64" s="192"/>
      <c r="E64" s="196"/>
      <c r="F64" s="196"/>
      <c r="G64" s="197"/>
      <c r="H64" s="198"/>
      <c r="I64" s="192"/>
      <c r="J64" s="192"/>
      <c r="K64" s="868"/>
      <c r="L64" s="259"/>
      <c r="M64" s="259"/>
      <c r="N64" s="192"/>
      <c r="O64" s="868"/>
      <c r="P64" s="259"/>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6"/>
      <c r="AP64" s="196"/>
      <c r="AQ64" s="196"/>
      <c r="AR64" s="196"/>
      <c r="AS64" s="196"/>
      <c r="AT64" s="196"/>
      <c r="AU64" s="196"/>
      <c r="AV64" s="192"/>
    </row>
    <row r="65" spans="1:48" x14ac:dyDescent="0.2">
      <c r="A65" s="30" t="s">
        <v>243</v>
      </c>
      <c r="C65" s="243" t="s">
        <v>256</v>
      </c>
      <c r="D65" s="192"/>
      <c r="E65" s="277">
        <v>-88.213647599999987</v>
      </c>
      <c r="F65" s="277">
        <v>-19.789302710000001</v>
      </c>
      <c r="G65" s="322" t="str">
        <f t="shared" si="2"/>
        <v>NM</v>
      </c>
      <c r="H65" s="323"/>
      <c r="I65" s="869">
        <v>-88.213647599999987</v>
      </c>
      <c r="J65" s="869">
        <v>-19.789302710000001</v>
      </c>
      <c r="K65" s="870" t="str">
        <f t="shared" si="8"/>
        <v>NM</v>
      </c>
      <c r="L65" s="29"/>
      <c r="M65" s="29"/>
      <c r="N65" s="869">
        <v>-15.9436786</v>
      </c>
      <c r="O65" s="870" t="str">
        <f t="shared" si="9"/>
        <v>NM</v>
      </c>
      <c r="P65" s="29"/>
      <c r="Q65" s="869">
        <v>-75.374240600000007</v>
      </c>
      <c r="R65" s="869">
        <v>-15.9436786</v>
      </c>
      <c r="S65" s="869">
        <v>-59.430561999999995</v>
      </c>
      <c r="T65" s="869">
        <v>-19.824339000000002</v>
      </c>
      <c r="U65" s="869">
        <v>-39.606223</v>
      </c>
      <c r="V65" s="869">
        <v>-19.816920289999999</v>
      </c>
      <c r="W65" s="869">
        <v>-19.789302710000001</v>
      </c>
      <c r="X65" s="260"/>
      <c r="Y65" s="869">
        <v>-91.632927460000005</v>
      </c>
      <c r="Z65" s="869">
        <v>-23.764595183333331</v>
      </c>
      <c r="AA65" s="869">
        <v>-67.868332276666663</v>
      </c>
      <c r="AB65" s="869">
        <v>-23.748279286666666</v>
      </c>
      <c r="AC65" s="869">
        <v>-44.120052989999998</v>
      </c>
      <c r="AD65" s="869">
        <v>-23.723030289999997</v>
      </c>
      <c r="AE65" s="869">
        <v>-20.397022700000001</v>
      </c>
      <c r="AF65" s="192"/>
      <c r="AG65" s="869">
        <v>-81.644042229999997</v>
      </c>
      <c r="AH65" s="869">
        <v>-20.403715809999994</v>
      </c>
      <c r="AI65" s="869">
        <v>-61.240326420000009</v>
      </c>
      <c r="AJ65" s="869">
        <v>-20.410839090000003</v>
      </c>
      <c r="AK65" s="869">
        <v>-40.829487330000006</v>
      </c>
      <c r="AL65" s="869">
        <v>-20.414383130000001</v>
      </c>
      <c r="AM65" s="869">
        <v>-20.415104200000002</v>
      </c>
      <c r="AN65" s="192"/>
      <c r="AO65" s="379"/>
      <c r="AP65" s="379"/>
      <c r="AQ65" s="379"/>
      <c r="AR65" s="379"/>
      <c r="AS65" s="379"/>
      <c r="AT65" s="379"/>
      <c r="AU65" s="379"/>
      <c r="AV65" s="192"/>
    </row>
    <row r="66" spans="1:48" x14ac:dyDescent="0.2">
      <c r="A66" s="30" t="s">
        <v>244</v>
      </c>
      <c r="C66" s="243" t="s">
        <v>257</v>
      </c>
      <c r="D66" s="192"/>
      <c r="E66" s="277">
        <v>-1.7880000000000109</v>
      </c>
      <c r="F66" s="277">
        <v>-8.7462640300000203</v>
      </c>
      <c r="G66" s="322">
        <f t="shared" si="2"/>
        <v>-0.79556985772815658</v>
      </c>
      <c r="H66" s="323"/>
      <c r="I66" s="869">
        <v>-1.7880000000000109</v>
      </c>
      <c r="J66" s="869">
        <v>-8.7462640300000203</v>
      </c>
      <c r="K66" s="870">
        <f t="shared" si="8"/>
        <v>-0.79556985772815658</v>
      </c>
      <c r="L66" s="29"/>
      <c r="M66" s="29"/>
      <c r="N66" s="869">
        <v>-22.009071649999925</v>
      </c>
      <c r="O66" s="870">
        <f t="shared" si="9"/>
        <v>-0.91876077153849345</v>
      </c>
      <c r="P66" s="29"/>
      <c r="Q66" s="869">
        <v>-114.83152254000002</v>
      </c>
      <c r="R66" s="869">
        <v>-22.009071649999925</v>
      </c>
      <c r="S66" s="869">
        <v>-92.822450890000084</v>
      </c>
      <c r="T66" s="869">
        <v>-82.287186860000048</v>
      </c>
      <c r="U66" s="869">
        <v>-10.535264030000036</v>
      </c>
      <c r="V66" s="869">
        <v>-1.7890000000000157</v>
      </c>
      <c r="W66" s="869">
        <v>-8.7462640300000203</v>
      </c>
      <c r="X66" s="260"/>
      <c r="Y66" s="869">
        <v>-14.240839158555058</v>
      </c>
      <c r="Z66" s="869">
        <v>-14.240839158555058</v>
      </c>
      <c r="AA66" s="869">
        <v>0</v>
      </c>
      <c r="AB66" s="869">
        <v>0</v>
      </c>
      <c r="AC66" s="869">
        <v>0</v>
      </c>
      <c r="AD66" s="869">
        <v>0</v>
      </c>
      <c r="AE66" s="869">
        <v>0</v>
      </c>
      <c r="AF66" s="192"/>
      <c r="AG66" s="869">
        <v>0</v>
      </c>
      <c r="AH66" s="869">
        <v>0</v>
      </c>
      <c r="AI66" s="869">
        <v>0</v>
      </c>
      <c r="AJ66" s="869">
        <v>0</v>
      </c>
      <c r="AK66" s="869">
        <v>0</v>
      </c>
      <c r="AL66" s="869">
        <v>0</v>
      </c>
      <c r="AM66" s="869">
        <v>0</v>
      </c>
      <c r="AN66" s="192"/>
      <c r="AO66" s="379"/>
      <c r="AP66" s="379"/>
      <c r="AQ66" s="379"/>
      <c r="AR66" s="379"/>
      <c r="AS66" s="379"/>
      <c r="AT66" s="379"/>
      <c r="AU66" s="379"/>
      <c r="AV66" s="192"/>
    </row>
    <row r="67" spans="1:48" x14ac:dyDescent="0.2">
      <c r="A67" s="30" t="s">
        <v>245</v>
      </c>
      <c r="C67" s="243" t="s">
        <v>258</v>
      </c>
      <c r="D67" s="192"/>
      <c r="E67" s="277">
        <v>78.216615259999998</v>
      </c>
      <c r="F67" s="277">
        <v>0</v>
      </c>
      <c r="G67" s="322" t="str">
        <f t="shared" si="2"/>
        <v>NM</v>
      </c>
      <c r="H67" s="323"/>
      <c r="I67" s="869">
        <v>78.216615259999998</v>
      </c>
      <c r="J67" s="869">
        <v>0</v>
      </c>
      <c r="K67" s="870" t="str">
        <f t="shared" si="8"/>
        <v>NM</v>
      </c>
      <c r="L67" s="29"/>
      <c r="M67" s="29"/>
      <c r="N67" s="869">
        <v>-6.7215227400000011</v>
      </c>
      <c r="O67" s="870" t="str">
        <f t="shared" si="9"/>
        <v>NM</v>
      </c>
      <c r="P67" s="29"/>
      <c r="Q67" s="869">
        <v>373.21569768999996</v>
      </c>
      <c r="R67" s="869">
        <v>-6.7215227400000011</v>
      </c>
      <c r="S67" s="869">
        <v>379.93722042999991</v>
      </c>
      <c r="T67" s="869">
        <v>-15.803253120000001</v>
      </c>
      <c r="U67" s="869">
        <v>395.74047354999993</v>
      </c>
      <c r="V67" s="869">
        <v>395.74047354999993</v>
      </c>
      <c r="W67" s="869">
        <v>0</v>
      </c>
      <c r="X67" s="260"/>
      <c r="Y67" s="869">
        <v>0</v>
      </c>
      <c r="Z67" s="869">
        <v>0</v>
      </c>
      <c r="AA67" s="869">
        <v>0</v>
      </c>
      <c r="AB67" s="869">
        <v>0</v>
      </c>
      <c r="AC67" s="869">
        <v>0</v>
      </c>
      <c r="AD67" s="869">
        <v>0</v>
      </c>
      <c r="AE67" s="869">
        <v>0</v>
      </c>
      <c r="AF67" s="192"/>
      <c r="AG67" s="869">
        <v>0</v>
      </c>
      <c r="AH67" s="869">
        <v>0</v>
      </c>
      <c r="AI67" s="869">
        <v>0</v>
      </c>
      <c r="AJ67" s="869">
        <v>0</v>
      </c>
      <c r="AK67" s="869">
        <v>0</v>
      </c>
      <c r="AL67" s="869">
        <v>0</v>
      </c>
      <c r="AM67" s="869">
        <v>0</v>
      </c>
      <c r="AN67" s="192"/>
      <c r="AO67" s="379"/>
      <c r="AP67" s="379"/>
      <c r="AQ67" s="379"/>
      <c r="AR67" s="379"/>
      <c r="AS67" s="379"/>
      <c r="AT67" s="379"/>
      <c r="AU67" s="379"/>
      <c r="AV67" s="192"/>
    </row>
    <row r="68" spans="1:48" x14ac:dyDescent="0.2">
      <c r="A68" s="30" t="s">
        <v>56</v>
      </c>
      <c r="C68" s="243" t="s">
        <v>259</v>
      </c>
      <c r="D68" s="192"/>
      <c r="E68" s="277">
        <v>6.2266071699999994</v>
      </c>
      <c r="F68" s="277">
        <v>8.0482197600000003</v>
      </c>
      <c r="G68" s="322">
        <f>IF(ISERROR($E68*F68),"NM",IF($E68*F68&gt;0,IF(E68/F68&gt;2,"NM",E68/F68-1),"NM"))</f>
        <v>-0.22633733226986341</v>
      </c>
      <c r="H68" s="323"/>
      <c r="I68" s="869">
        <v>6.2266071699999994</v>
      </c>
      <c r="J68" s="869">
        <v>8.0482197600000003</v>
      </c>
      <c r="K68" s="870">
        <f>IF(ISERROR($E68*J68),"NM",IF($E68*J68&gt;0,IF(I68/J68&gt;2,"NM",I68/J68-1),"NM"))</f>
        <v>-0.22633733226986341</v>
      </c>
      <c r="L68" s="29"/>
      <c r="M68" s="29"/>
      <c r="N68" s="869">
        <v>14.72397177</v>
      </c>
      <c r="O68" s="870">
        <f t="shared" si="9"/>
        <v>-0.57711090001634802</v>
      </c>
      <c r="P68" s="29"/>
      <c r="Q68" s="869">
        <v>55.526192840000007</v>
      </c>
      <c r="R68" s="869">
        <v>14.72397177</v>
      </c>
      <c r="S68" s="869">
        <v>40.802221070000002</v>
      </c>
      <c r="T68" s="869">
        <v>26.560052290000005</v>
      </c>
      <c r="U68" s="869">
        <v>14.24216878</v>
      </c>
      <c r="V68" s="869">
        <v>6.1939490199999998</v>
      </c>
      <c r="W68" s="869">
        <v>8.0482197600000003</v>
      </c>
      <c r="X68" s="260"/>
      <c r="Y68" s="869">
        <v>28.749982555538232</v>
      </c>
      <c r="Z68" s="869">
        <v>10.078079350628233</v>
      </c>
      <c r="AA68" s="869">
        <v>18.671903204910002</v>
      </c>
      <c r="AB68" s="869">
        <v>6.3939799749699997</v>
      </c>
      <c r="AC68" s="869">
        <v>12.277923229940001</v>
      </c>
      <c r="AD68" s="869">
        <v>6.5753514449699999</v>
      </c>
      <c r="AE68" s="869">
        <v>5.7025717849699999</v>
      </c>
      <c r="AF68" s="192"/>
      <c r="AG68" s="869">
        <v>22.883539860000003</v>
      </c>
      <c r="AH68" s="869">
        <v>5.7190625475000019</v>
      </c>
      <c r="AI68" s="869">
        <v>17.164477312500001</v>
      </c>
      <c r="AJ68" s="869">
        <v>5.6890777774999997</v>
      </c>
      <c r="AK68" s="869">
        <v>11.475399535000001</v>
      </c>
      <c r="AL68" s="869">
        <v>5.7531312574999998</v>
      </c>
      <c r="AM68" s="869">
        <v>5.7222682775000004</v>
      </c>
      <c r="AN68" s="192"/>
      <c r="AO68" s="379"/>
      <c r="AP68" s="379"/>
      <c r="AQ68" s="379"/>
      <c r="AR68" s="379"/>
      <c r="AS68" s="379"/>
      <c r="AT68" s="379"/>
      <c r="AU68" s="379"/>
      <c r="AV68" s="192"/>
    </row>
    <row r="69" spans="1:48" ht="12" x14ac:dyDescent="0.25">
      <c r="A69" s="30" t="s">
        <v>57</v>
      </c>
      <c r="C69" s="16" t="s">
        <v>260</v>
      </c>
      <c r="D69" s="192"/>
      <c r="E69" s="278">
        <v>-5.5584251699999925</v>
      </c>
      <c r="F69" s="278">
        <v>-20.487346980000002</v>
      </c>
      <c r="G69" s="324">
        <f>IF(ISERROR($E69*F69),"NM",IF($E69*F69&gt;0,IF(E69/F69&gt;2,"NM",E69/F69-1),"NM"))</f>
        <v>-0.72868985059772773</v>
      </c>
      <c r="H69" s="306"/>
      <c r="I69" s="871">
        <v>-5.5584251699999925</v>
      </c>
      <c r="J69" s="871">
        <v>-20.487346980000002</v>
      </c>
      <c r="K69" s="35">
        <f>IF(ISERROR($E69*J69),"NM",IF($E69*J69&gt;0,IF(I69/J69&gt;2,"NM",I69/J69-1),"NM"))</f>
        <v>-0.72868985059772773</v>
      </c>
      <c r="L69" s="27"/>
      <c r="M69" s="27"/>
      <c r="N69" s="871">
        <v>-29.950301220000004</v>
      </c>
      <c r="O69" s="35">
        <f>IF(ISERROR($I69*N69),"NM",IF($I69*N69&gt;0,IF($I69/N69&gt;2,"NM",$I69/N69-1),"NM"))</f>
        <v>-0.81441171061450879</v>
      </c>
      <c r="P69" s="27"/>
      <c r="Q69" s="871">
        <v>238.53612738999993</v>
      </c>
      <c r="R69" s="871">
        <v>-29.950301220000004</v>
      </c>
      <c r="S69" s="871">
        <v>268.48642860999996</v>
      </c>
      <c r="T69" s="871">
        <v>-91.354726689999978</v>
      </c>
      <c r="U69" s="871">
        <v>359.84115529999997</v>
      </c>
      <c r="V69" s="871">
        <v>380.32850227999995</v>
      </c>
      <c r="W69" s="871">
        <v>-20.487346980000002</v>
      </c>
      <c r="X69" s="258"/>
      <c r="Y69" s="871">
        <v>-77.123784063016828</v>
      </c>
      <c r="Z69" s="871">
        <v>-27.927354991260156</v>
      </c>
      <c r="AA69" s="871">
        <v>-49.196429071756661</v>
      </c>
      <c r="AB69" s="871">
        <v>-17.354299311696664</v>
      </c>
      <c r="AC69" s="871">
        <v>-31.842129760059997</v>
      </c>
      <c r="AD69" s="871">
        <v>-17.147678845029997</v>
      </c>
      <c r="AE69" s="871">
        <v>-14.69445091503</v>
      </c>
      <c r="AF69" s="192"/>
      <c r="AG69" s="871">
        <v>-58.760502369999998</v>
      </c>
      <c r="AH69" s="871">
        <v>-14.684653262499992</v>
      </c>
      <c r="AI69" s="871">
        <v>-44.075849107500005</v>
      </c>
      <c r="AJ69" s="871">
        <v>-14.721761312500004</v>
      </c>
      <c r="AK69" s="871">
        <v>-29.354087795000005</v>
      </c>
      <c r="AL69" s="871">
        <v>-14.661251872500001</v>
      </c>
      <c r="AM69" s="871">
        <v>-14.692835922500002</v>
      </c>
      <c r="AN69" s="192"/>
      <c r="AO69" s="378"/>
      <c r="AP69" s="378"/>
      <c r="AQ69" s="378"/>
      <c r="AR69" s="378"/>
      <c r="AS69" s="378"/>
      <c r="AT69" s="378"/>
      <c r="AU69" s="378"/>
      <c r="AV69" s="192"/>
    </row>
    <row r="71" spans="1:48" ht="12" hidden="1" outlineLevel="1" x14ac:dyDescent="0.25">
      <c r="A71" s="3"/>
      <c r="C71" s="21" t="s">
        <v>105</v>
      </c>
      <c r="E71" s="22"/>
      <c r="F71" s="22"/>
      <c r="G71" s="34"/>
      <c r="H71" s="24"/>
      <c r="I71" s="22"/>
      <c r="J71" s="22"/>
      <c r="K71" s="34"/>
      <c r="L71" s="24"/>
      <c r="M71" s="24"/>
      <c r="N71" s="22"/>
      <c r="O71" s="34"/>
      <c r="P71" s="24"/>
      <c r="Q71" s="22"/>
      <c r="R71" s="22"/>
      <c r="S71" s="22"/>
      <c r="T71" s="22"/>
      <c r="U71" s="22"/>
      <c r="V71" s="22"/>
      <c r="W71" s="22"/>
      <c r="X71" s="13"/>
      <c r="Y71" s="22"/>
      <c r="Z71" s="22"/>
      <c r="AA71" s="22"/>
      <c r="AB71" s="22"/>
      <c r="AC71" s="22"/>
      <c r="AD71" s="22"/>
      <c r="AE71" s="22"/>
      <c r="AG71" s="22"/>
      <c r="AH71" s="22"/>
      <c r="AI71" s="22"/>
      <c r="AJ71" s="22"/>
      <c r="AK71" s="22"/>
      <c r="AL71" s="22"/>
      <c r="AM71" s="22"/>
      <c r="AO71" s="22"/>
      <c r="AP71" s="22"/>
      <c r="AQ71" s="22"/>
      <c r="AR71" s="22"/>
      <c r="AS71" s="22"/>
      <c r="AT71" s="22"/>
      <c r="AU71" s="22"/>
    </row>
    <row r="72" spans="1:48" hidden="1" outlineLevel="1" x14ac:dyDescent="0.2">
      <c r="A72" s="3" t="s">
        <v>58</v>
      </c>
      <c r="B72" s="49"/>
      <c r="C72" s="54" t="s">
        <v>95</v>
      </c>
      <c r="D72" s="49"/>
      <c r="E72" s="52" t="s">
        <v>530</v>
      </c>
      <c r="F72" s="52">
        <v>0</v>
      </c>
      <c r="G72" s="53" t="str">
        <f t="shared" ref="G72:G79" si="11">IF(ISERROR($E72*F72),"NM",IF($E72*F72&gt;0,IF(E72/F72&gt;2,"NM",E72/F72-1),"NM"))</f>
        <v>NM</v>
      </c>
      <c r="H72" s="50"/>
      <c r="I72" s="52" t="s">
        <v>530</v>
      </c>
      <c r="J72" s="52">
        <v>0</v>
      </c>
      <c r="K72" s="53" t="str">
        <f t="shared" ref="K72:K79" si="12">IF(ISERROR($E72*J72),"NM",IF($E72*J72&gt;0,IF(I72/J72&gt;2,"NM",I72/J72-1),"NM"))</f>
        <v>NM</v>
      </c>
      <c r="L72" s="50"/>
      <c r="M72" s="50"/>
      <c r="N72" s="52">
        <v>0</v>
      </c>
      <c r="O72" s="53" t="str">
        <f t="shared" ref="O72:O79" si="13">IF(ISERROR($I72*N72),"NM",IF($I72*N72&gt;0,IF($I72/N72&gt;2,"NM",$I72/N72-1),"NM"))</f>
        <v>NM</v>
      </c>
      <c r="P72" s="50"/>
      <c r="Q72" s="52">
        <v>0</v>
      </c>
      <c r="R72" s="52">
        <v>0</v>
      </c>
      <c r="S72" s="52">
        <v>0</v>
      </c>
      <c r="T72" s="52">
        <v>0</v>
      </c>
      <c r="U72" s="52"/>
      <c r="V72" s="52">
        <v>0</v>
      </c>
      <c r="W72" s="52">
        <v>0</v>
      </c>
      <c r="X72" s="237"/>
      <c r="Y72" s="52">
        <v>0</v>
      </c>
      <c r="Z72" s="52">
        <v>0</v>
      </c>
      <c r="AA72" s="52">
        <v>0</v>
      </c>
      <c r="AB72" s="52">
        <v>0</v>
      </c>
      <c r="AC72" s="52"/>
      <c r="AD72" s="52">
        <v>0</v>
      </c>
      <c r="AE72" s="52">
        <v>0</v>
      </c>
      <c r="AG72" s="52">
        <v>0</v>
      </c>
      <c r="AH72" s="52">
        <v>0</v>
      </c>
      <c r="AI72" s="52">
        <v>0</v>
      </c>
      <c r="AJ72" s="52">
        <v>0</v>
      </c>
      <c r="AK72" s="52">
        <v>0</v>
      </c>
      <c r="AL72" s="52">
        <v>0</v>
      </c>
      <c r="AM72" s="52">
        <v>0</v>
      </c>
      <c r="AO72" s="52" t="s">
        <v>530</v>
      </c>
      <c r="AP72" s="52" t="s">
        <v>530</v>
      </c>
      <c r="AQ72" s="52" t="s">
        <v>530</v>
      </c>
      <c r="AR72" s="52" t="s">
        <v>530</v>
      </c>
      <c r="AS72" s="52" t="s">
        <v>530</v>
      </c>
      <c r="AT72" s="52" t="s">
        <v>530</v>
      </c>
      <c r="AU72" s="52" t="s">
        <v>530</v>
      </c>
    </row>
    <row r="73" spans="1:48" hidden="1" outlineLevel="1" x14ac:dyDescent="0.2">
      <c r="A73" s="3" t="s">
        <v>59</v>
      </c>
      <c r="B73" s="49"/>
      <c r="C73" s="54" t="s">
        <v>96</v>
      </c>
      <c r="D73" s="49"/>
      <c r="E73" s="52" t="s">
        <v>530</v>
      </c>
      <c r="F73" s="52">
        <v>0</v>
      </c>
      <c r="G73" s="53" t="str">
        <f t="shared" si="11"/>
        <v>NM</v>
      </c>
      <c r="H73" s="50"/>
      <c r="I73" s="52" t="s">
        <v>530</v>
      </c>
      <c r="J73" s="52">
        <v>0</v>
      </c>
      <c r="K73" s="53" t="str">
        <f t="shared" si="12"/>
        <v>NM</v>
      </c>
      <c r="L73" s="50"/>
      <c r="M73" s="50"/>
      <c r="N73" s="52">
        <v>0</v>
      </c>
      <c r="O73" s="53" t="str">
        <f t="shared" si="13"/>
        <v>NM</v>
      </c>
      <c r="P73" s="50"/>
      <c r="Q73" s="52">
        <v>0</v>
      </c>
      <c r="R73" s="52">
        <v>0</v>
      </c>
      <c r="S73" s="52">
        <v>0</v>
      </c>
      <c r="T73" s="52">
        <v>0</v>
      </c>
      <c r="U73" s="52"/>
      <c r="V73" s="52">
        <v>0</v>
      </c>
      <c r="W73" s="52">
        <v>0</v>
      </c>
      <c r="X73" s="237"/>
      <c r="Y73" s="52">
        <v>0</v>
      </c>
      <c r="Z73" s="52">
        <v>0</v>
      </c>
      <c r="AA73" s="52">
        <v>0</v>
      </c>
      <c r="AB73" s="52">
        <v>0</v>
      </c>
      <c r="AC73" s="52"/>
      <c r="AD73" s="52">
        <v>0</v>
      </c>
      <c r="AE73" s="52">
        <v>0</v>
      </c>
      <c r="AG73" s="52">
        <v>0</v>
      </c>
      <c r="AH73" s="52">
        <v>0</v>
      </c>
      <c r="AI73" s="52">
        <v>0</v>
      </c>
      <c r="AJ73" s="52">
        <v>0</v>
      </c>
      <c r="AK73" s="52">
        <v>0</v>
      </c>
      <c r="AL73" s="52">
        <v>0</v>
      </c>
      <c r="AM73" s="52">
        <v>0</v>
      </c>
      <c r="AO73" s="52" t="s">
        <v>530</v>
      </c>
      <c r="AP73" s="52" t="s">
        <v>530</v>
      </c>
      <c r="AQ73" s="52" t="s">
        <v>530</v>
      </c>
      <c r="AR73" s="52" t="s">
        <v>530</v>
      </c>
      <c r="AS73" s="52" t="s">
        <v>530</v>
      </c>
      <c r="AT73" s="52" t="s">
        <v>530</v>
      </c>
      <c r="AU73" s="52" t="s">
        <v>530</v>
      </c>
    </row>
    <row r="74" spans="1:48" hidden="1" outlineLevel="1" x14ac:dyDescent="0.2">
      <c r="A74" s="3" t="s">
        <v>60</v>
      </c>
      <c r="B74" s="49"/>
      <c r="C74" s="54" t="s">
        <v>97</v>
      </c>
      <c r="D74" s="49"/>
      <c r="E74" s="52" t="s">
        <v>530</v>
      </c>
      <c r="F74" s="52">
        <v>0</v>
      </c>
      <c r="G74" s="53" t="str">
        <f t="shared" si="11"/>
        <v>NM</v>
      </c>
      <c r="H74" s="50"/>
      <c r="I74" s="52" t="s">
        <v>530</v>
      </c>
      <c r="J74" s="52">
        <v>0</v>
      </c>
      <c r="K74" s="53" t="str">
        <f t="shared" si="12"/>
        <v>NM</v>
      </c>
      <c r="L74" s="50"/>
      <c r="M74" s="50"/>
      <c r="N74" s="52">
        <v>0</v>
      </c>
      <c r="O74" s="53" t="str">
        <f t="shared" si="13"/>
        <v>NM</v>
      </c>
      <c r="P74" s="50"/>
      <c r="Q74" s="52">
        <v>0</v>
      </c>
      <c r="R74" s="52">
        <v>0</v>
      </c>
      <c r="S74" s="52">
        <v>0</v>
      </c>
      <c r="T74" s="52">
        <v>0</v>
      </c>
      <c r="U74" s="52"/>
      <c r="V74" s="52">
        <v>0</v>
      </c>
      <c r="W74" s="52">
        <v>0</v>
      </c>
      <c r="X74" s="237"/>
      <c r="Y74" s="52">
        <v>0</v>
      </c>
      <c r="Z74" s="52">
        <v>0</v>
      </c>
      <c r="AA74" s="52">
        <v>0</v>
      </c>
      <c r="AB74" s="52">
        <v>0</v>
      </c>
      <c r="AC74" s="52"/>
      <c r="AD74" s="52">
        <v>0</v>
      </c>
      <c r="AE74" s="52">
        <v>0</v>
      </c>
      <c r="AG74" s="52">
        <v>0</v>
      </c>
      <c r="AH74" s="52">
        <v>0</v>
      </c>
      <c r="AI74" s="52">
        <v>0</v>
      </c>
      <c r="AJ74" s="52">
        <v>0</v>
      </c>
      <c r="AK74" s="52">
        <v>0</v>
      </c>
      <c r="AL74" s="52">
        <v>0</v>
      </c>
      <c r="AM74" s="52">
        <v>0</v>
      </c>
      <c r="AO74" s="52" t="s">
        <v>530</v>
      </c>
      <c r="AP74" s="52" t="s">
        <v>530</v>
      </c>
      <c r="AQ74" s="52" t="s">
        <v>530</v>
      </c>
      <c r="AR74" s="52" t="s">
        <v>530</v>
      </c>
      <c r="AS74" s="52" t="s">
        <v>530</v>
      </c>
      <c r="AT74" s="52" t="s">
        <v>530</v>
      </c>
      <c r="AU74" s="52" t="s">
        <v>530</v>
      </c>
    </row>
    <row r="75" spans="1:48" hidden="1" outlineLevel="1" x14ac:dyDescent="0.2">
      <c r="A75" s="3" t="s">
        <v>61</v>
      </c>
      <c r="B75" s="49"/>
      <c r="C75" s="54" t="s">
        <v>98</v>
      </c>
      <c r="D75" s="49"/>
      <c r="E75" s="52" t="s">
        <v>530</v>
      </c>
      <c r="F75" s="52">
        <v>0</v>
      </c>
      <c r="G75" s="53" t="str">
        <f t="shared" si="11"/>
        <v>NM</v>
      </c>
      <c r="H75" s="50"/>
      <c r="I75" s="52" t="s">
        <v>530</v>
      </c>
      <c r="J75" s="52">
        <v>0</v>
      </c>
      <c r="K75" s="53" t="str">
        <f t="shared" si="12"/>
        <v>NM</v>
      </c>
      <c r="L75" s="50"/>
      <c r="M75" s="50"/>
      <c r="N75" s="52">
        <v>0</v>
      </c>
      <c r="O75" s="53" t="str">
        <f t="shared" si="13"/>
        <v>NM</v>
      </c>
      <c r="P75" s="50"/>
      <c r="Q75" s="52">
        <v>0</v>
      </c>
      <c r="R75" s="52">
        <v>0</v>
      </c>
      <c r="S75" s="52">
        <v>0</v>
      </c>
      <c r="T75" s="52">
        <v>0</v>
      </c>
      <c r="U75" s="52"/>
      <c r="V75" s="52">
        <v>0</v>
      </c>
      <c r="W75" s="52">
        <v>0</v>
      </c>
      <c r="X75" s="237"/>
      <c r="Y75" s="52">
        <v>0</v>
      </c>
      <c r="Z75" s="52">
        <v>0</v>
      </c>
      <c r="AA75" s="52">
        <v>0</v>
      </c>
      <c r="AB75" s="52">
        <v>0</v>
      </c>
      <c r="AC75" s="52"/>
      <c r="AD75" s="52">
        <v>0</v>
      </c>
      <c r="AE75" s="52">
        <v>0</v>
      </c>
      <c r="AG75" s="52">
        <v>0</v>
      </c>
      <c r="AH75" s="52">
        <v>0</v>
      </c>
      <c r="AI75" s="52">
        <v>0</v>
      </c>
      <c r="AJ75" s="52">
        <v>0</v>
      </c>
      <c r="AK75" s="52">
        <v>0</v>
      </c>
      <c r="AL75" s="52">
        <v>0</v>
      </c>
      <c r="AM75" s="52">
        <v>0</v>
      </c>
      <c r="AO75" s="52" t="s">
        <v>530</v>
      </c>
      <c r="AP75" s="52" t="s">
        <v>530</v>
      </c>
      <c r="AQ75" s="52" t="s">
        <v>530</v>
      </c>
      <c r="AR75" s="52" t="s">
        <v>530</v>
      </c>
      <c r="AS75" s="52" t="s">
        <v>530</v>
      </c>
      <c r="AT75" s="52" t="s">
        <v>530</v>
      </c>
      <c r="AU75" s="52" t="s">
        <v>530</v>
      </c>
    </row>
    <row r="76" spans="1:48" hidden="1" outlineLevel="1" x14ac:dyDescent="0.2">
      <c r="A76" s="3" t="s">
        <v>62</v>
      </c>
      <c r="B76" s="49"/>
      <c r="C76" s="54" t="s">
        <v>99</v>
      </c>
      <c r="D76" s="49"/>
      <c r="E76" s="52" t="s">
        <v>530</v>
      </c>
      <c r="F76" s="52">
        <v>0</v>
      </c>
      <c r="G76" s="53" t="str">
        <f t="shared" si="11"/>
        <v>NM</v>
      </c>
      <c r="H76" s="50"/>
      <c r="I76" s="52" t="s">
        <v>530</v>
      </c>
      <c r="J76" s="52">
        <v>0</v>
      </c>
      <c r="K76" s="53" t="str">
        <f t="shared" si="12"/>
        <v>NM</v>
      </c>
      <c r="L76" s="50"/>
      <c r="M76" s="50"/>
      <c r="N76" s="52">
        <v>0</v>
      </c>
      <c r="O76" s="53" t="str">
        <f t="shared" si="13"/>
        <v>NM</v>
      </c>
      <c r="P76" s="50"/>
      <c r="Q76" s="52">
        <v>0</v>
      </c>
      <c r="R76" s="52">
        <v>0</v>
      </c>
      <c r="S76" s="52">
        <v>0</v>
      </c>
      <c r="T76" s="52">
        <v>0</v>
      </c>
      <c r="U76" s="52"/>
      <c r="V76" s="52">
        <v>0</v>
      </c>
      <c r="W76" s="52">
        <v>0</v>
      </c>
      <c r="X76" s="237"/>
      <c r="Y76" s="52">
        <v>0</v>
      </c>
      <c r="Z76" s="52">
        <v>0</v>
      </c>
      <c r="AA76" s="52">
        <v>0</v>
      </c>
      <c r="AB76" s="52">
        <v>0</v>
      </c>
      <c r="AC76" s="52"/>
      <c r="AD76" s="52">
        <v>0</v>
      </c>
      <c r="AE76" s="52">
        <v>0</v>
      </c>
      <c r="AG76" s="52">
        <v>0</v>
      </c>
      <c r="AH76" s="52">
        <v>0</v>
      </c>
      <c r="AI76" s="52">
        <v>0</v>
      </c>
      <c r="AJ76" s="52">
        <v>0</v>
      </c>
      <c r="AK76" s="52">
        <v>0</v>
      </c>
      <c r="AL76" s="52">
        <v>0</v>
      </c>
      <c r="AM76" s="52">
        <v>0</v>
      </c>
      <c r="AO76" s="52" t="s">
        <v>530</v>
      </c>
      <c r="AP76" s="52" t="s">
        <v>530</v>
      </c>
      <c r="AQ76" s="52" t="s">
        <v>530</v>
      </c>
      <c r="AR76" s="52" t="s">
        <v>530</v>
      </c>
      <c r="AS76" s="52" t="s">
        <v>530</v>
      </c>
      <c r="AT76" s="52" t="s">
        <v>530</v>
      </c>
      <c r="AU76" s="52" t="s">
        <v>530</v>
      </c>
    </row>
    <row r="77" spans="1:48" hidden="1" outlineLevel="1" x14ac:dyDescent="0.2">
      <c r="A77" s="3" t="s">
        <v>63</v>
      </c>
      <c r="B77" s="49"/>
      <c r="C77" s="54" t="s">
        <v>100</v>
      </c>
      <c r="D77" s="49"/>
      <c r="E77" s="52" t="s">
        <v>530</v>
      </c>
      <c r="F77" s="52">
        <v>0</v>
      </c>
      <c r="G77" s="53" t="str">
        <f t="shared" si="11"/>
        <v>NM</v>
      </c>
      <c r="H77" s="50"/>
      <c r="I77" s="52" t="s">
        <v>530</v>
      </c>
      <c r="J77" s="52">
        <v>0</v>
      </c>
      <c r="K77" s="53" t="str">
        <f t="shared" si="12"/>
        <v>NM</v>
      </c>
      <c r="L77" s="50"/>
      <c r="M77" s="50"/>
      <c r="N77" s="52">
        <v>0</v>
      </c>
      <c r="O77" s="53" t="str">
        <f t="shared" si="13"/>
        <v>NM</v>
      </c>
      <c r="P77" s="50"/>
      <c r="Q77" s="52">
        <v>0</v>
      </c>
      <c r="R77" s="52">
        <v>0</v>
      </c>
      <c r="S77" s="52">
        <v>0</v>
      </c>
      <c r="T77" s="52">
        <v>0</v>
      </c>
      <c r="U77" s="52"/>
      <c r="V77" s="52">
        <v>0</v>
      </c>
      <c r="W77" s="52">
        <v>0</v>
      </c>
      <c r="X77" s="237"/>
      <c r="Y77" s="52">
        <v>0</v>
      </c>
      <c r="Z77" s="52">
        <v>0</v>
      </c>
      <c r="AA77" s="52">
        <v>0</v>
      </c>
      <c r="AB77" s="52">
        <v>0</v>
      </c>
      <c r="AC77" s="52"/>
      <c r="AD77" s="52">
        <v>0</v>
      </c>
      <c r="AE77" s="52">
        <v>0</v>
      </c>
      <c r="AG77" s="52">
        <v>0</v>
      </c>
      <c r="AH77" s="52">
        <v>0</v>
      </c>
      <c r="AI77" s="52">
        <v>0</v>
      </c>
      <c r="AJ77" s="52">
        <v>0</v>
      </c>
      <c r="AK77" s="52">
        <v>0</v>
      </c>
      <c r="AL77" s="52">
        <v>0</v>
      </c>
      <c r="AM77" s="52">
        <v>0</v>
      </c>
      <c r="AO77" s="52" t="s">
        <v>530</v>
      </c>
      <c r="AP77" s="52" t="s">
        <v>530</v>
      </c>
      <c r="AQ77" s="52" t="s">
        <v>530</v>
      </c>
      <c r="AR77" s="52" t="s">
        <v>530</v>
      </c>
      <c r="AS77" s="52" t="s">
        <v>530</v>
      </c>
      <c r="AT77" s="52" t="s">
        <v>530</v>
      </c>
      <c r="AU77" s="52" t="s">
        <v>530</v>
      </c>
    </row>
    <row r="78" spans="1:48" ht="12" hidden="1" outlineLevel="1" x14ac:dyDescent="0.25">
      <c r="A78" s="3" t="s">
        <v>64</v>
      </c>
      <c r="C78" s="15" t="s">
        <v>101</v>
      </c>
      <c r="E78" s="14" t="s">
        <v>530</v>
      </c>
      <c r="F78" s="14">
        <v>0</v>
      </c>
      <c r="G78" s="11" t="str">
        <f t="shared" si="11"/>
        <v>NM</v>
      </c>
      <c r="H78" s="27"/>
      <c r="I78" s="14" t="s">
        <v>530</v>
      </c>
      <c r="J78" s="14">
        <v>0</v>
      </c>
      <c r="K78" s="11" t="str">
        <f t="shared" si="12"/>
        <v>NM</v>
      </c>
      <c r="L78" s="27"/>
      <c r="M78" s="27"/>
      <c r="N78" s="14">
        <v>0</v>
      </c>
      <c r="O78" s="11" t="str">
        <f t="shared" si="13"/>
        <v>NM</v>
      </c>
      <c r="P78" s="27"/>
      <c r="Q78" s="14">
        <v>0</v>
      </c>
      <c r="R78" s="14">
        <v>0</v>
      </c>
      <c r="S78" s="14">
        <v>0</v>
      </c>
      <c r="T78" s="14">
        <v>0</v>
      </c>
      <c r="U78" s="14"/>
      <c r="V78" s="14">
        <v>0</v>
      </c>
      <c r="W78" s="14">
        <v>0</v>
      </c>
      <c r="X78" s="238"/>
      <c r="Y78" s="14">
        <v>0</v>
      </c>
      <c r="Z78" s="14">
        <v>0</v>
      </c>
      <c r="AA78" s="14">
        <v>0</v>
      </c>
      <c r="AB78" s="14">
        <v>0</v>
      </c>
      <c r="AC78" s="14"/>
      <c r="AD78" s="14">
        <v>0</v>
      </c>
      <c r="AE78" s="14">
        <v>0</v>
      </c>
      <c r="AG78" s="14">
        <v>0</v>
      </c>
      <c r="AH78" s="14">
        <v>0</v>
      </c>
      <c r="AI78" s="14">
        <v>0</v>
      </c>
      <c r="AJ78" s="14">
        <v>0</v>
      </c>
      <c r="AK78" s="14">
        <v>0</v>
      </c>
      <c r="AL78" s="14">
        <v>0</v>
      </c>
      <c r="AM78" s="14">
        <v>0</v>
      </c>
      <c r="AO78" s="14" t="s">
        <v>530</v>
      </c>
      <c r="AP78" s="14" t="s">
        <v>530</v>
      </c>
      <c r="AQ78" s="14" t="s">
        <v>530</v>
      </c>
      <c r="AR78" s="14" t="s">
        <v>530</v>
      </c>
      <c r="AS78" s="14" t="s">
        <v>530</v>
      </c>
      <c r="AT78" s="14" t="s">
        <v>530</v>
      </c>
      <c r="AU78" s="14" t="s">
        <v>530</v>
      </c>
    </row>
    <row r="79" spans="1:48" ht="12" hidden="1" outlineLevel="1" x14ac:dyDescent="0.25">
      <c r="A79" s="3" t="s">
        <v>66</v>
      </c>
      <c r="C79" s="16" t="s">
        <v>102</v>
      </c>
      <c r="E79" s="17" t="s">
        <v>530</v>
      </c>
      <c r="F79" s="17">
        <v>0</v>
      </c>
      <c r="G79" s="35" t="str">
        <f t="shared" si="11"/>
        <v>NM</v>
      </c>
      <c r="H79" s="27"/>
      <c r="I79" s="17" t="s">
        <v>530</v>
      </c>
      <c r="J79" s="17">
        <v>0</v>
      </c>
      <c r="K79" s="35" t="str">
        <f t="shared" si="12"/>
        <v>NM</v>
      </c>
      <c r="L79" s="27"/>
      <c r="M79" s="27"/>
      <c r="N79" s="17">
        <v>0</v>
      </c>
      <c r="O79" s="35" t="str">
        <f t="shared" si="13"/>
        <v>NM</v>
      </c>
      <c r="P79" s="27"/>
      <c r="Q79" s="17">
        <v>0</v>
      </c>
      <c r="R79" s="17">
        <v>0</v>
      </c>
      <c r="S79" s="17">
        <v>0</v>
      </c>
      <c r="T79" s="17">
        <v>0</v>
      </c>
      <c r="U79" s="17"/>
      <c r="V79" s="17">
        <v>0</v>
      </c>
      <c r="W79" s="17">
        <v>0</v>
      </c>
      <c r="X79" s="238"/>
      <c r="Y79" s="17">
        <v>0</v>
      </c>
      <c r="Z79" s="17">
        <v>0</v>
      </c>
      <c r="AA79" s="17">
        <v>0</v>
      </c>
      <c r="AB79" s="17">
        <v>0</v>
      </c>
      <c r="AC79" s="17"/>
      <c r="AD79" s="17">
        <v>0</v>
      </c>
      <c r="AE79" s="17">
        <v>0</v>
      </c>
      <c r="AG79" s="17">
        <v>0</v>
      </c>
      <c r="AH79" s="17">
        <v>0</v>
      </c>
      <c r="AI79" s="17">
        <v>0</v>
      </c>
      <c r="AJ79" s="17">
        <v>0</v>
      </c>
      <c r="AK79" s="17">
        <v>0</v>
      </c>
      <c r="AL79" s="17">
        <v>0</v>
      </c>
      <c r="AM79" s="17">
        <v>0</v>
      </c>
      <c r="AO79" s="17" t="s">
        <v>530</v>
      </c>
      <c r="AP79" s="17" t="s">
        <v>530</v>
      </c>
      <c r="AQ79" s="17" t="s">
        <v>530</v>
      </c>
      <c r="AR79" s="17" t="s">
        <v>530</v>
      </c>
      <c r="AS79" s="17" t="s">
        <v>530</v>
      </c>
      <c r="AT79" s="17" t="s">
        <v>530</v>
      </c>
      <c r="AU79" s="17" t="s">
        <v>530</v>
      </c>
    </row>
    <row r="80" spans="1:48" collapsed="1" x14ac:dyDescent="0.2"/>
  </sheetData>
  <pageMargins left="0.39370078740157483" right="0.39370078740157483" top="0.39370078740157483" bottom="0.39370078740157483" header="0.31496062992125984" footer="0.19685039370078741"/>
  <pageSetup paperSize="9" scale="53" orientation="landscape" r:id="rId1"/>
  <headerFooter>
    <oddFooter>&amp;L&amp;"Arial Black,Normal"&amp;F - &amp;A&amp;C&amp;"Arial Black,Normal"&amp;8p. &amp;P / &amp;N&amp;R&amp;"Arial Narrow,Normal"&amp;8&amp;G</oddFooter>
  </headerFooter>
  <rowBreaks count="1" manualBreakCount="1">
    <brk id="47" max="16383" man="1"/>
  </rowBreaks>
  <colBreaks count="2" manualBreakCount="2">
    <brk id="2" max="1048575" man="1"/>
    <brk id="15" max="1048575"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CE863-87CD-40A5-B4B0-188F53CB9BDE}">
  <sheetPr>
    <pageSetUpPr fitToPage="1"/>
  </sheetPr>
  <dimension ref="A1:AO73"/>
  <sheetViews>
    <sheetView showGridLines="0" topLeftCell="B1" zoomScaleNormal="100" zoomScaleSheetLayoutView="100" workbookViewId="0">
      <pane ySplit="4" topLeftCell="A23" activePane="bottomLeft" state="frozen"/>
      <selection activeCell="L26" sqref="L26"/>
      <selection pane="bottomLeft" activeCell="L30" sqref="L30"/>
    </sheetView>
  </sheetViews>
  <sheetFormatPr defaultColWidth="9.125" defaultRowHeight="11.4" outlineLevelRow="1" outlineLevelCol="1" x14ac:dyDescent="0.2"/>
  <cols>
    <col min="1" max="1" width="23.625" hidden="1" customWidth="1" outlineLevel="1"/>
    <col min="2" max="2" width="2.75" customWidth="1" collapsed="1"/>
    <col min="3" max="3" width="53.875" bestFit="1" customWidth="1"/>
    <col min="4" max="4" width="2.75" style="45" customWidth="1"/>
    <col min="5" max="9" width="10.625" customWidth="1"/>
    <col min="10" max="10" width="15.25" customWidth="1"/>
    <col min="11" max="11" width="10.625" customWidth="1"/>
    <col min="12" max="12" width="10.625" style="192" customWidth="1"/>
    <col min="13" max="17" width="10.625" customWidth="1"/>
    <col min="18" max="18" width="4.625" customWidth="1"/>
    <col min="19" max="19" width="10.625" customWidth="1" outlineLevel="1"/>
    <col min="20" max="25" width="10.625" customWidth="1"/>
    <col min="26" max="26" width="4.625" customWidth="1"/>
    <col min="27" max="27" width="10.625" customWidth="1" outlineLevel="1"/>
    <col min="28" max="33" width="10.625" customWidth="1"/>
    <col min="34" max="34" width="12.75" bestFit="1" customWidth="1"/>
    <col min="35" max="35" width="10.625" customWidth="1"/>
    <col min="36" max="36" width="12.25" bestFit="1" customWidth="1"/>
    <col min="37" max="37" width="10.625" hidden="1" customWidth="1" outlineLevel="1"/>
    <col min="38" max="38" width="13" bestFit="1" customWidth="1" collapsed="1"/>
    <col min="39" max="39" width="10.625" hidden="1" customWidth="1" outlineLevel="1"/>
    <col min="40" max="40" width="13" bestFit="1" customWidth="1" collapsed="1"/>
  </cols>
  <sheetData>
    <row r="1" spans="1:41" s="814" customFormat="1" hidden="1" outlineLevel="1" x14ac:dyDescent="0.2">
      <c r="C1" s="815" t="s">
        <v>149</v>
      </c>
      <c r="D1" s="816"/>
      <c r="E1" s="817">
        <f>DateRef</f>
        <v>46112</v>
      </c>
      <c r="F1" s="817">
        <f>EOMONTH($E$1,-12)</f>
        <v>45747</v>
      </c>
      <c r="G1" s="818"/>
      <c r="H1" s="817">
        <f>EOMONTH($E$1,-3)</f>
        <v>46022</v>
      </c>
      <c r="I1" s="817"/>
      <c r="J1" s="819"/>
      <c r="K1" s="817">
        <f>EOMONTH($E$1,-3)</f>
        <v>46022</v>
      </c>
      <c r="M1" s="817">
        <f>EOMONTH(K1,-3)</f>
        <v>45930</v>
      </c>
      <c r="O1" s="817">
        <f>EOMONTH(M1,-3)</f>
        <v>45838</v>
      </c>
      <c r="Q1" s="817">
        <f>EOMONTH(O1,-3)</f>
        <v>45747</v>
      </c>
      <c r="S1" s="817">
        <f>EOMONTH(Q1,-3)</f>
        <v>45657</v>
      </c>
      <c r="U1" s="817">
        <f>EOMONTH(S1,-3)</f>
        <v>45565</v>
      </c>
      <c r="W1" s="817">
        <f>EOMONTH(U1,-3)</f>
        <v>45473</v>
      </c>
      <c r="Y1" s="817">
        <f>EOMONTH(W1,-3)</f>
        <v>45382</v>
      </c>
      <c r="Z1" s="817"/>
      <c r="AA1" s="817">
        <f>EOMONTH(Y1,-3)</f>
        <v>45291</v>
      </c>
      <c r="AC1" s="817">
        <f>EOMONTH(AA1,-3)</f>
        <v>45199</v>
      </c>
      <c r="AE1" s="817">
        <f>EOMONTH(AC1,-3)</f>
        <v>45107</v>
      </c>
      <c r="AF1" s="817"/>
      <c r="AG1" s="817">
        <f>EOMONTH(AE1,-3)</f>
        <v>45016</v>
      </c>
      <c r="AH1" s="817"/>
      <c r="AI1" s="817"/>
      <c r="AJ1" s="817"/>
      <c r="AK1" s="817"/>
      <c r="AL1" s="817"/>
      <c r="AM1" s="817"/>
      <c r="AN1" s="817"/>
    </row>
    <row r="2" spans="1:41" s="814" customFormat="1" hidden="1" outlineLevel="1" x14ac:dyDescent="0.2">
      <c r="C2" s="815" t="s">
        <v>146</v>
      </c>
      <c r="D2" s="820"/>
      <c r="E2" s="819" t="str">
        <f>DateYtd</f>
        <v>2026Mar</v>
      </c>
      <c r="F2" s="819" t="str" cm="1">
        <f t="array" ref="F2">YEAR(EOMONTH(DateRef,-12))&amp;INDEX(TableYtd,MONTH(EOMONTH(DateRef,-12)),1)</f>
        <v>2025Mar</v>
      </c>
      <c r="G2" s="818"/>
      <c r="H2" s="819" t="str" cm="1">
        <f t="array" ref="H2">YEAR(EOMONTH(DateRef,-3))&amp;INDEX(TableYtd,MONTH(EOMONTH(DateRef,-3)),1)</f>
        <v>2025Dec</v>
      </c>
      <c r="I2" s="818"/>
      <c r="J2" s="819"/>
      <c r="K2" s="819" t="str" cm="1">
        <f t="array" ref="K2">YEAR(K1)&amp;INDEX(TableYtd,MONTH(K1),1)</f>
        <v>2025Dec</v>
      </c>
      <c r="M2" s="819" t="str" cm="1">
        <f t="array" ref="M2">YEAR(M1)&amp;INDEX(TableYtd,MONTH(M1),1)</f>
        <v>2025Sep</v>
      </c>
      <c r="O2" s="819" t="str" cm="1">
        <f t="array" ref="O2">YEAR(O1)&amp;INDEX(TableYtd,MONTH(O1),1)</f>
        <v>2025Jun</v>
      </c>
      <c r="Q2" s="819" t="str" cm="1">
        <f t="array" ref="Q2">YEAR(Q1)&amp;INDEX(TableYtd,MONTH(Q1),1)</f>
        <v>2025Mar</v>
      </c>
      <c r="S2" s="819" t="str" cm="1">
        <f t="array" ref="S2">YEAR(S1)&amp;INDEX(TableYtd,MONTH(S1),1)</f>
        <v>2024Dec</v>
      </c>
      <c r="U2" s="819" t="str" cm="1">
        <f t="array" ref="U2">YEAR(U1)&amp;INDEX(TableYtd,MONTH(U1),1)</f>
        <v>2024Sep</v>
      </c>
      <c r="W2" s="819" t="str" cm="1">
        <f t="array" ref="W2">YEAR(W1)&amp;INDEX(TableYtd,MONTH(W1),1)</f>
        <v>2024Jun</v>
      </c>
      <c r="Y2" s="819" t="str" cm="1">
        <f t="array" ref="Y2">YEAR(Y1)&amp;INDEX(TableYtd,MONTH(Y1),1)</f>
        <v>2024Mar</v>
      </c>
      <c r="Z2" s="819"/>
      <c r="AA2" s="819" t="str" cm="1">
        <f t="array" ref="AA2">YEAR(AA1)&amp;INDEX(TableYtd,MONTH(AA1),1)</f>
        <v>2023Dec</v>
      </c>
      <c r="AC2" s="819" t="str" cm="1">
        <f t="array" ref="AC2">YEAR(AC1)&amp;INDEX(TableYtd,MONTH(AC1),1)</f>
        <v>2023Sep</v>
      </c>
      <c r="AE2" s="819" t="str" cm="1">
        <f t="array" ref="AE2">YEAR(AE1)&amp;INDEX(TableYtd,MONTH(AE1),1)</f>
        <v>2023Jun</v>
      </c>
      <c r="AF2" s="819"/>
      <c r="AG2" s="819" t="str" cm="1">
        <f t="array" ref="AG2">YEAR(AG1)&amp;INDEX(TableYtd,MONTH(AG1),1)</f>
        <v>2023Mar</v>
      </c>
      <c r="AH2" s="819"/>
      <c r="AI2" s="816"/>
      <c r="AJ2" s="819"/>
      <c r="AK2" s="816"/>
      <c r="AL2" s="819"/>
      <c r="AM2" s="816"/>
      <c r="AN2" s="819"/>
    </row>
    <row r="3" spans="1:41" ht="23.4" hidden="1" customHeight="1" outlineLevel="1" x14ac:dyDescent="0.2">
      <c r="C3" s="30" t="s">
        <v>155</v>
      </c>
      <c r="D3" s="340"/>
      <c r="E3" s="810">
        <f>DateRef</f>
        <v>46112</v>
      </c>
      <c r="F3" s="810">
        <f>EOMONTH($E$1,-12)</f>
        <v>45747</v>
      </c>
      <c r="G3" s="811"/>
      <c r="H3" s="810">
        <f>EOMONTH($E$3,-3)</f>
        <v>46022</v>
      </c>
      <c r="I3" s="810">
        <f>EOMONTH(H3,-12)</f>
        <v>45657</v>
      </c>
      <c r="J3" s="812"/>
      <c r="K3" s="810">
        <f>EOMONTH($E$3,-3)</f>
        <v>46022</v>
      </c>
      <c r="L3" s="810">
        <f>EOMONTH($E$3,-3)</f>
        <v>46022</v>
      </c>
      <c r="M3" s="810">
        <f>EOMONTH(K3,-3)</f>
        <v>45930</v>
      </c>
      <c r="N3" s="810">
        <f>M3</f>
        <v>45930</v>
      </c>
      <c r="O3" s="810">
        <f>EOMONTH(M3,-3)</f>
        <v>45838</v>
      </c>
      <c r="P3" s="810">
        <f>O3</f>
        <v>45838</v>
      </c>
      <c r="Q3" s="810">
        <f>EOMONTH(O3,-3)</f>
        <v>45747</v>
      </c>
      <c r="R3" s="810"/>
      <c r="S3" s="810">
        <f>EOMONTH(Q3,-3)</f>
        <v>45657</v>
      </c>
      <c r="T3" s="810">
        <f>EOMONTH(Q3,-3)</f>
        <v>45657</v>
      </c>
      <c r="U3" s="810">
        <f>EOMONTH(S3,-3)</f>
        <v>45565</v>
      </c>
      <c r="V3" s="810">
        <f>EOMONTH(S3,-3)</f>
        <v>45565</v>
      </c>
      <c r="W3" s="810">
        <f>EOMONTH(U3,-3)</f>
        <v>45473</v>
      </c>
      <c r="X3" s="810">
        <f>EOMONTH(U3,-3)</f>
        <v>45473</v>
      </c>
      <c r="Y3" s="810">
        <f>EOMONTH(W3,-3)</f>
        <v>45382</v>
      </c>
      <c r="Z3" s="810"/>
      <c r="AA3" s="810">
        <f>EOMONTH(Y3,-3)</f>
        <v>45291</v>
      </c>
      <c r="AB3" s="810">
        <f>EOMONTH(Y3,-3)</f>
        <v>45291</v>
      </c>
      <c r="AC3" s="810">
        <f>EOMONTH(AA3,-3)</f>
        <v>45199</v>
      </c>
      <c r="AD3" s="810">
        <f>EOMONTH(AA3,-3)</f>
        <v>45199</v>
      </c>
      <c r="AE3" s="810">
        <f>EOMONTH(AC3,-3)</f>
        <v>45107</v>
      </c>
      <c r="AF3" s="810">
        <f>EOMONTH(AC3,-3)</f>
        <v>45107</v>
      </c>
      <c r="AG3" s="810">
        <f>EOMONTH(AE3,-3)</f>
        <v>45016</v>
      </c>
      <c r="AH3" s="341"/>
      <c r="AI3" s="341"/>
      <c r="AJ3" s="341"/>
      <c r="AK3" s="341"/>
      <c r="AL3" s="341"/>
      <c r="AM3" s="341"/>
      <c r="AN3" s="341"/>
      <c r="AO3" s="341"/>
    </row>
    <row r="4" spans="1:41" ht="24.75" hidden="1" customHeight="1" outlineLevel="1" x14ac:dyDescent="0.2">
      <c r="C4" s="30" t="s">
        <v>147</v>
      </c>
      <c r="D4" s="340"/>
      <c r="E4" s="812" t="str">
        <f>DateYtd</f>
        <v>2026Mar</v>
      </c>
      <c r="F4" s="812" t="str" cm="1">
        <f t="array" ref="F4">YEAR(EOMONTH(DateRef,-12))&amp;INDEX(TableYtd,MONTH(EOMONTH(DateRef,-12)),1)</f>
        <v>2025Mar</v>
      </c>
      <c r="G4" s="811"/>
      <c r="H4" s="812" t="s">
        <v>460</v>
      </c>
      <c r="I4" s="812" t="str">
        <f>YEAR(I$3)&amp;"Q"&amp;MONTH(I$3)/3</f>
        <v>2024Q4</v>
      </c>
      <c r="J4" s="812"/>
      <c r="K4" s="812" t="s">
        <v>230</v>
      </c>
      <c r="L4" s="813" t="str">
        <f>YEAR(L3)&amp;"Q"&amp;MONTH(L3)/3</f>
        <v>2025Q4</v>
      </c>
      <c r="M4" s="812" t="str" cm="1">
        <f t="array" ref="M4">YEAR(M3)&amp;INDEX(TableYtd,MONTH(M3),1)</f>
        <v>2025Sep</v>
      </c>
      <c r="N4" s="812" t="str">
        <f>YEAR(N3)&amp;"Q"&amp;MONTH(N3)/3</f>
        <v>2025Q3</v>
      </c>
      <c r="O4" s="812" t="str" cm="1">
        <f t="array" ref="O4">YEAR(O3)&amp;INDEX(TableYtd,MONTH(O3),1)</f>
        <v>2025Jun</v>
      </c>
      <c r="P4" s="812" t="str">
        <f>YEAR(P3)&amp;"Q"&amp;MONTH(P3)/3</f>
        <v>2025Q2</v>
      </c>
      <c r="Q4" s="812" t="str">
        <f>YEAR(Q3)&amp;"Q"&amp;MONTH(Q3)/3</f>
        <v>2025Q1</v>
      </c>
      <c r="R4" s="812"/>
      <c r="S4" s="812" t="s">
        <v>266</v>
      </c>
      <c r="T4" s="812" t="str">
        <f t="shared" ref="T4:Y4" si="0">YEAR(T3)&amp;"Q"&amp;MONTH(T3)/3</f>
        <v>2024Q4</v>
      </c>
      <c r="U4" s="812" t="str" cm="1">
        <f t="array" ref="U4">YEAR(U3)&amp;INDEX(TableYtd,MONTH(U3),1)</f>
        <v>2024Sep</v>
      </c>
      <c r="V4" s="812" t="str">
        <f t="shared" si="0"/>
        <v>2024Q3</v>
      </c>
      <c r="W4" s="812" t="str" cm="1">
        <f t="array" ref="W4">YEAR(W3)&amp;INDEX(TableYtd,MONTH(W3),1)</f>
        <v>2024Jun</v>
      </c>
      <c r="X4" s="812" t="str">
        <f t="shared" si="0"/>
        <v>2024Q2</v>
      </c>
      <c r="Y4" s="812" t="str">
        <f t="shared" si="0"/>
        <v>2024Q1</v>
      </c>
      <c r="Z4" s="812"/>
      <c r="AA4" s="812" t="s">
        <v>267</v>
      </c>
      <c r="AB4" s="812" t="str">
        <f>YEAR(AB3)&amp;"Q"&amp;MONTH(AB3)/3</f>
        <v>2023Q4</v>
      </c>
      <c r="AC4" s="812" t="str" cm="1">
        <f t="array" ref="AC4">YEAR(AC3)&amp;INDEX(TableYtd,MONTH(AC3),1)</f>
        <v>2023Sep</v>
      </c>
      <c r="AD4" s="812" t="str">
        <f>YEAR(AD3)&amp;"Q"&amp;MONTH(AD3)/3</f>
        <v>2023Q3</v>
      </c>
      <c r="AE4" s="812" t="str" cm="1">
        <f t="array" ref="AE4">YEAR(AE3)&amp;INDEX(TableYtd,MONTH(AE3),1)</f>
        <v>2023Jun</v>
      </c>
      <c r="AF4" s="812" t="str">
        <f>YEAR(AF3)&amp;"Q"&amp;MONTH(AF3)/3</f>
        <v>2023Q2</v>
      </c>
      <c r="AG4" s="812" t="str">
        <f>YEAR(AG3)&amp;"Q"&amp;MONTH(AG3)/3</f>
        <v>2023Q1</v>
      </c>
      <c r="AH4" s="3"/>
      <c r="AI4" s="3"/>
      <c r="AJ4" s="3"/>
      <c r="AK4" s="3"/>
      <c r="AL4" s="3"/>
      <c r="AM4" s="3"/>
      <c r="AN4" s="3"/>
      <c r="AO4" s="3"/>
    </row>
    <row r="5" spans="1:41" ht="14.25" customHeight="1" collapsed="1" x14ac:dyDescent="0.2">
      <c r="C5" s="181"/>
    </row>
    <row r="6" spans="1:41" ht="17.399999999999999" x14ac:dyDescent="0.3">
      <c r="C6" s="77" t="s">
        <v>156</v>
      </c>
      <c r="D6" s="89"/>
      <c r="E6" s="90">
        <f>DateRef</f>
        <v>46112</v>
      </c>
      <c r="F6" s="91"/>
      <c r="K6" s="77" t="s">
        <v>185</v>
      </c>
    </row>
    <row r="7" spans="1:41" ht="17.399999999999999" x14ac:dyDescent="0.3">
      <c r="C7" s="100" t="s">
        <v>168</v>
      </c>
      <c r="D7" s="89"/>
      <c r="E7" s="90"/>
      <c r="F7" s="91"/>
      <c r="M7" s="192"/>
      <c r="S7" s="229"/>
    </row>
    <row r="8" spans="1:41" ht="24" x14ac:dyDescent="0.25">
      <c r="A8" s="96" t="s">
        <v>150</v>
      </c>
      <c r="B8" s="2"/>
      <c r="C8" s="4" t="s">
        <v>107</v>
      </c>
      <c r="D8" s="46"/>
      <c r="E8" s="199" t="str">
        <f>"AuM 
"&amp;TEXT(DAY(E$1),"00")&amp;"."&amp;TEXT(MONTH(E$1),"00")&amp;"."&amp;YEAR(E$1)</f>
        <v>AuM 
31.03.2026</v>
      </c>
      <c r="F8" s="199" t="str">
        <f>"AuM 
"&amp;TEXT(DAY(F$1),"00")&amp;"."&amp;TEXT(MONTH(F$1),"00")&amp;"."&amp;YEAR(F$1)</f>
        <v>AuM 
31.03.2025</v>
      </c>
      <c r="G8" s="195" t="s">
        <v>103</v>
      </c>
      <c r="H8" s="199" t="str">
        <f>"AuM 
"&amp;TEXT(DAY(H$1),"00")&amp;"."&amp;TEXT(MONTH(H$1),"00")&amp;"."&amp;YEAR(H$1)</f>
        <v>AuM 
31.12.2025</v>
      </c>
      <c r="I8" s="195" t="s">
        <v>104</v>
      </c>
      <c r="J8" s="196"/>
      <c r="K8" s="199" t="str">
        <f>"AuM 
"&amp;TEXT(DAY(K$1),"00")&amp;"."&amp;TEXT(MONTH(K$1),"00")&amp;"."&amp;YEAR(K$1)</f>
        <v>AuM 
31.12.2025</v>
      </c>
      <c r="M8" s="199" t="str">
        <f>"AuM 
"&amp;TEXT(DAY(M$1),"00")&amp;"."&amp;TEXT(MONTH(M$1),"00")&amp;"."&amp;YEAR(M$1)</f>
        <v>AuM 
30.09.2025</v>
      </c>
      <c r="O8" s="199" t="str">
        <f>"AuM 
"&amp;TEXT(DAY(O$1),"00")&amp;"."&amp;TEXT(MONTH(O$1),"00")&amp;"."&amp;YEAR(O$1)</f>
        <v>AuM 
30.06.2025</v>
      </c>
      <c r="P8" s="229"/>
      <c r="Q8" s="199" t="str">
        <f>"AuM 
"&amp;TEXT(DAY(Q$1),"00")&amp;"."&amp;TEXT(MONTH(Q$1),"00")&amp;"."&amp;YEAR(Q$1)</f>
        <v>AuM 
31.03.2025</v>
      </c>
      <c r="S8" s="199" t="str">
        <f>"AuM 
"&amp;TEXT(DAY(S$1),"00")&amp;"."&amp;TEXT(MONTH(S$1),"00")&amp;"."&amp;YEAR(S$1)</f>
        <v>AuM 
31.12.2024</v>
      </c>
      <c r="U8" s="199" t="str">
        <f>"AuM 
"&amp;TEXT(DAY(U$1),"00")&amp;"."&amp;TEXT(MONTH(U$1),"00")&amp;"."&amp;YEAR(U$1)</f>
        <v>AuM 
30.09.2024</v>
      </c>
      <c r="W8" s="199" t="str">
        <f>"AuM 
"&amp;TEXT(DAY(W$1),"00")&amp;"."&amp;TEXT(MONTH(W$1),"00")&amp;"."&amp;YEAR(W$1)</f>
        <v>AuM 
30.06.2024</v>
      </c>
      <c r="Y8" s="199" t="str">
        <f>"AuM 
"&amp;TEXT(DAY(Y$1),"00")&amp;"."&amp;TEXT(MONTH(Y$1),"00")&amp;"."&amp;YEAR(Y$1)</f>
        <v>AuM 
31.03.2024</v>
      </c>
      <c r="Z8" s="339"/>
      <c r="AA8" s="199" t="str">
        <f>"AuM 
"&amp;TEXT(DAY(AA$1),"00")&amp;"."&amp;TEXT(MONTH(AA$1),"00")&amp;"."&amp;YEAR(AA$1)</f>
        <v>AuM 
31.12.2023</v>
      </c>
      <c r="AC8" s="199" t="str">
        <f>"AuM 
"&amp;TEXT(DAY(AC$1),"00")&amp;"."&amp;TEXT(MONTH(AC$1),"00")&amp;"."&amp;YEAR(AC$1)</f>
        <v>AuM 
30.09.2023</v>
      </c>
      <c r="AE8" s="199" t="str">
        <f>"AuM 
"&amp;TEXT(DAY(AE$1),"00")&amp;"."&amp;TEXT(MONTH(AE$1),"00")&amp;"."&amp;YEAR(AE$1)</f>
        <v>AuM 
30.06.2023</v>
      </c>
      <c r="AG8" s="199" t="str">
        <f>"AuM 
"&amp;TEXT(DAY(AG$1),"00")&amp;"."&amp;TEXT(MONTH(AG$1),"00")&amp;"."&amp;YEAR(AG$1)</f>
        <v>AuM 
31.03.2023</v>
      </c>
    </row>
    <row r="9" spans="1:41" ht="15" customHeight="1" x14ac:dyDescent="0.25">
      <c r="A9" s="40" t="s">
        <v>108</v>
      </c>
      <c r="B9" s="31"/>
      <c r="C9" s="290" t="s">
        <v>108</v>
      </c>
      <c r="D9" s="47"/>
      <c r="E9" s="732">
        <v>812207372072.20361</v>
      </c>
      <c r="F9" s="732">
        <v>794892748954.3269</v>
      </c>
      <c r="G9" s="733">
        <f t="shared" ref="G9:I15" si="1">IF(ISERROR($E9*F9),"NM",IF($E9*F9&gt;0,IF($E9/F9&gt;2,"NM",$E9/F9-1),"NM"))</f>
        <v>2.1782338737715179E-2</v>
      </c>
      <c r="H9" s="732">
        <v>807958337730.35132</v>
      </c>
      <c r="I9" s="733">
        <f t="shared" si="1"/>
        <v>5.2589770331330499E-3</v>
      </c>
      <c r="J9" s="196"/>
      <c r="K9" s="732">
        <v>807958337730.35132</v>
      </c>
      <c r="M9" s="732">
        <v>781460284003.64575</v>
      </c>
      <c r="O9" s="732">
        <v>751384229488.74878</v>
      </c>
      <c r="P9" s="229"/>
      <c r="Q9" s="732">
        <v>794892748954.3269</v>
      </c>
      <c r="S9" s="732">
        <v>706487130669.70996</v>
      </c>
      <c r="U9" s="732">
        <v>681315390453.23047</v>
      </c>
      <c r="W9" s="732">
        <v>657789268677.42993</v>
      </c>
      <c r="Y9" s="732">
        <v>646782281678.51978</v>
      </c>
      <c r="Z9" s="229"/>
      <c r="AA9" s="732">
        <v>610992763570.54651</v>
      </c>
      <c r="AC9" s="732">
        <v>586980176031.22595</v>
      </c>
      <c r="AE9" s="732">
        <v>590365664368.01013</v>
      </c>
      <c r="AG9" s="732">
        <v>577864488848.46997</v>
      </c>
    </row>
    <row r="10" spans="1:41" ht="12" x14ac:dyDescent="0.2">
      <c r="A10" s="98" t="s">
        <v>151</v>
      </c>
      <c r="B10" s="31"/>
      <c r="C10" s="290" t="s">
        <v>109</v>
      </c>
      <c r="D10" s="46"/>
      <c r="E10" s="732">
        <v>708896562781.61951</v>
      </c>
      <c r="F10" s="732">
        <v>660186951860.03198</v>
      </c>
      <c r="G10" s="733">
        <f t="shared" si="1"/>
        <v>7.3781541401797712E-2</v>
      </c>
      <c r="H10" s="732">
        <v>692576194107.38892</v>
      </c>
      <c r="I10" s="733">
        <f t="shared" si="1"/>
        <v>2.3564726615047382E-2</v>
      </c>
      <c r="J10" s="196"/>
      <c r="K10" s="732">
        <v>692576194107.38892</v>
      </c>
      <c r="M10" s="732">
        <v>672246147562.13635</v>
      </c>
      <c r="O10" s="732">
        <v>654806739869.78003</v>
      </c>
      <c r="P10" s="229"/>
      <c r="Q10" s="732">
        <v>660186951860.03198</v>
      </c>
      <c r="S10" s="732">
        <v>732337149746.31641</v>
      </c>
      <c r="U10" s="732">
        <v>722819068361.23315</v>
      </c>
      <c r="W10" s="732">
        <v>717626488529.87207</v>
      </c>
      <c r="Y10" s="732">
        <v>709545630123.24963</v>
      </c>
      <c r="Z10" s="229"/>
      <c r="AA10" s="732">
        <v>683041846247.61707</v>
      </c>
      <c r="AC10" s="732">
        <v>669878057297.50171</v>
      </c>
      <c r="AE10" s="732">
        <v>657395391923.18579</v>
      </c>
      <c r="AG10" s="732">
        <v>647538876425.57861</v>
      </c>
    </row>
    <row r="11" spans="1:41" ht="15" customHeight="1" x14ac:dyDescent="0.2">
      <c r="A11" s="40" t="s">
        <v>152</v>
      </c>
      <c r="B11" s="31"/>
      <c r="C11" s="290" t="s">
        <v>440</v>
      </c>
      <c r="D11" s="103"/>
      <c r="E11" s="734">
        <v>464634797504.65002</v>
      </c>
      <c r="F11" s="734">
        <v>430199281721.99994</v>
      </c>
      <c r="G11" s="735">
        <f t="shared" si="1"/>
        <v>8.0045498088262113E-2</v>
      </c>
      <c r="H11" s="734">
        <v>455114238934.9101</v>
      </c>
      <c r="I11" s="735">
        <f t="shared" si="1"/>
        <v>2.0919052306560548E-2</v>
      </c>
      <c r="J11" s="196"/>
      <c r="K11" s="734">
        <v>455114238934.9101</v>
      </c>
      <c r="M11" s="734">
        <v>449662117946.39001</v>
      </c>
      <c r="O11" s="734">
        <v>444648895560.67999</v>
      </c>
      <c r="P11" s="229"/>
      <c r="Q11" s="734">
        <v>430199281721.99994</v>
      </c>
      <c r="S11" s="734">
        <v>429375504430.17999</v>
      </c>
      <c r="U11" s="734">
        <v>427895438481.79004</v>
      </c>
      <c r="W11" s="734">
        <v>424208619844</v>
      </c>
      <c r="Y11" s="734">
        <v>427394757743.34998</v>
      </c>
      <c r="Z11" s="229"/>
      <c r="AA11" s="734">
        <v>426736535360.34998</v>
      </c>
      <c r="AC11" s="734">
        <v>406490986530.73999</v>
      </c>
      <c r="AE11" s="734">
        <v>416031592957.48999</v>
      </c>
      <c r="AG11" s="734">
        <v>416177986528.22986</v>
      </c>
    </row>
    <row r="12" spans="1:41" ht="15" customHeight="1" x14ac:dyDescent="0.2">
      <c r="A12" s="40" t="s">
        <v>439</v>
      </c>
      <c r="B12" s="31"/>
      <c r="C12" s="736" t="s">
        <v>439</v>
      </c>
      <c r="D12" s="103"/>
      <c r="E12" s="229">
        <v>412589160144.1908</v>
      </c>
      <c r="F12" s="229">
        <v>361907983965.75989</v>
      </c>
      <c r="G12" s="737">
        <f>IF(ISERROR($E12*F12),"NM",IF($E12*F12&gt;0,IF($E12/F12&gt;2,"NM",$E12/F12-1),"NM"))</f>
        <v>0.14003884529727828</v>
      </c>
      <c r="H12" s="229">
        <v>424260940793.28888</v>
      </c>
      <c r="I12" s="737">
        <f>IF(ISERROR($E12*H12),"NM",IF($E12*H12&gt;0,IF($E12/H12&gt;2,"NM",$E12/H12-1),"NM"))</f>
        <v>-2.7510853644160616E-2</v>
      </c>
      <c r="J12" s="196"/>
      <c r="K12" s="229">
        <v>424260940793.28888</v>
      </c>
      <c r="M12" s="229">
        <v>414059622936.63025</v>
      </c>
      <c r="O12" s="229">
        <v>416298949861.57251</v>
      </c>
      <c r="P12" s="229"/>
      <c r="Q12" s="229">
        <v>361907983965.75989</v>
      </c>
      <c r="S12" s="229">
        <v>371866583611.28998</v>
      </c>
      <c r="U12" s="229">
        <v>359515336124.71002</v>
      </c>
      <c r="W12" s="229">
        <v>356473313722.65002</v>
      </c>
      <c r="Y12" s="229">
        <v>332422357804.55005</v>
      </c>
      <c r="Z12" s="229"/>
      <c r="AA12" s="229">
        <v>315816888391.16998</v>
      </c>
      <c r="AC12" s="229">
        <v>309955173475.96008</v>
      </c>
      <c r="AE12" s="229">
        <v>297524252204.77991</v>
      </c>
      <c r="AG12" s="229">
        <v>292280230427.7901</v>
      </c>
    </row>
    <row r="13" spans="1:41" ht="15" customHeight="1" x14ac:dyDescent="0.2">
      <c r="A13" s="62" t="s">
        <v>118</v>
      </c>
      <c r="B13" s="31"/>
      <c r="C13" s="740" t="s">
        <v>106</v>
      </c>
      <c r="D13" s="103"/>
      <c r="E13" s="220">
        <v>352646224500.17999</v>
      </c>
      <c r="F13" s="220">
        <v>361907983965.75989</v>
      </c>
      <c r="G13" s="286">
        <f>IF(ISERROR($E13*F13),"NM",IF($E13*F13&gt;0,IF($E13/F13&gt;2,"NM",$E13/F13-1),"NM"))</f>
        <v>-2.5591475943940956E-2</v>
      </c>
      <c r="H13" s="220">
        <v>364354082319.92993</v>
      </c>
      <c r="I13" s="286">
        <f>IF(ISERROR($E13*H13),"NM",IF($E13*H13&gt;0,IF($E13/H13&gt;2,"NM",$E13/H13-1),"NM"))</f>
        <v>-3.213318688568878E-2</v>
      </c>
      <c r="J13" s="196"/>
      <c r="K13" s="220">
        <v>364354082319.92993</v>
      </c>
      <c r="M13" s="220">
        <v>354217669453.65015</v>
      </c>
      <c r="O13" s="220">
        <v>358647282110.56995</v>
      </c>
      <c r="P13" s="220"/>
      <c r="Q13" s="220">
        <v>361907983965.75989</v>
      </c>
      <c r="S13" s="220">
        <v>371866583611.28998</v>
      </c>
      <c r="U13" s="220">
        <v>359515336124.71002</v>
      </c>
      <c r="W13" s="220">
        <v>356473313722.65002</v>
      </c>
      <c r="Y13" s="220">
        <v>332422357804.55005</v>
      </c>
      <c r="Z13" s="220"/>
      <c r="AA13" s="220">
        <v>315816888391.16998</v>
      </c>
      <c r="AC13" s="220">
        <v>309955173475.96008</v>
      </c>
      <c r="AE13" s="220">
        <v>297524252204.77991</v>
      </c>
      <c r="AG13" s="220">
        <v>292280230427.7901</v>
      </c>
    </row>
    <row r="14" spans="1:41" ht="15" customHeight="1" x14ac:dyDescent="0.2">
      <c r="A14" s="62" t="s">
        <v>204</v>
      </c>
      <c r="B14" s="31"/>
      <c r="C14" s="740" t="s">
        <v>207</v>
      </c>
      <c r="D14" s="103"/>
      <c r="E14" s="220">
        <v>59942935644.010803</v>
      </c>
      <c r="F14" s="220">
        <v>0</v>
      </c>
      <c r="G14" s="286" t="str">
        <f t="shared" si="1"/>
        <v>NM</v>
      </c>
      <c r="H14" s="220">
        <v>59906858473.358932</v>
      </c>
      <c r="I14" s="286">
        <f t="shared" si="1"/>
        <v>6.0222104064955317E-4</v>
      </c>
      <c r="J14" s="196"/>
      <c r="K14" s="220">
        <v>59906858473.358932</v>
      </c>
      <c r="M14" s="220">
        <v>59841953482.980087</v>
      </c>
      <c r="O14" s="220">
        <v>57651667751.002541</v>
      </c>
      <c r="P14" s="220"/>
      <c r="Q14" s="220">
        <v>0</v>
      </c>
      <c r="S14" s="220">
        <v>0</v>
      </c>
      <c r="U14" s="220">
        <v>0</v>
      </c>
      <c r="W14" s="220">
        <v>0</v>
      </c>
      <c r="Y14" s="220">
        <v>0</v>
      </c>
      <c r="Z14" s="220"/>
      <c r="AA14" s="220">
        <v>0</v>
      </c>
      <c r="AC14" s="220">
        <v>0</v>
      </c>
      <c r="AE14" s="220">
        <v>0</v>
      </c>
      <c r="AG14" s="220">
        <v>0</v>
      </c>
    </row>
    <row r="15" spans="1:41" ht="12" x14ac:dyDescent="0.2">
      <c r="A15" s="99" t="s">
        <v>153</v>
      </c>
      <c r="B15" s="31"/>
      <c r="C15" s="150" t="s">
        <v>110</v>
      </c>
      <c r="D15" s="56"/>
      <c r="E15" s="738">
        <v>2398327892502.6641</v>
      </c>
      <c r="F15" s="738">
        <v>2247186966502.1187</v>
      </c>
      <c r="G15" s="739">
        <f t="shared" si="1"/>
        <v>6.7257833128057554E-2</v>
      </c>
      <c r="H15" s="738">
        <v>2379909711565.9395</v>
      </c>
      <c r="I15" s="739">
        <f t="shared" si="1"/>
        <v>7.7390250761260049E-3</v>
      </c>
      <c r="J15" s="196"/>
      <c r="K15" s="738">
        <v>2379909711565.9395</v>
      </c>
      <c r="M15" s="738">
        <v>2317428172448.8022</v>
      </c>
      <c r="O15" s="738">
        <v>2267138814780.7813</v>
      </c>
      <c r="P15" s="222"/>
      <c r="Q15" s="738">
        <v>2247186966502.1187</v>
      </c>
      <c r="S15" s="738">
        <v>2240066368457.4966</v>
      </c>
      <c r="U15" s="738">
        <v>2191545233420.9636</v>
      </c>
      <c r="W15" s="738">
        <v>2156097690773.9517</v>
      </c>
      <c r="Y15" s="738">
        <v>2116145027349.6692</v>
      </c>
      <c r="Z15" s="222"/>
      <c r="AA15" s="738">
        <v>2036588033569.6836</v>
      </c>
      <c r="AC15" s="738">
        <v>1973304393335.4277</v>
      </c>
      <c r="AE15" s="738">
        <v>1961316901453.4658</v>
      </c>
      <c r="AG15" s="738">
        <v>1933861582230.0684</v>
      </c>
    </row>
    <row r="16" spans="1:41" hidden="1" outlineLevel="1" x14ac:dyDescent="0.2">
      <c r="A16" s="2"/>
      <c r="B16" s="2"/>
      <c r="C16" s="39"/>
      <c r="D16" s="46"/>
      <c r="E16" s="228">
        <f>ROUND(E15-SUM(E9:E11,E13:E14),1)</f>
        <v>0</v>
      </c>
      <c r="F16" s="228">
        <f t="shared" ref="F16:K16" si="2">ROUND(F15-SUM(F9:F11,F13:F14),1)</f>
        <v>0</v>
      </c>
      <c r="G16" s="228"/>
      <c r="H16" s="228">
        <f t="shared" si="2"/>
        <v>0</v>
      </c>
      <c r="I16" s="228">
        <f t="shared" si="2"/>
        <v>0</v>
      </c>
      <c r="J16" s="228"/>
      <c r="K16" s="228">
        <f t="shared" si="2"/>
        <v>0</v>
      </c>
      <c r="M16" s="228">
        <f>ROUND(M15-SUM(M9:M11,M13:M14),1)</f>
        <v>0</v>
      </c>
      <c r="O16" s="228">
        <f>ROUND(O15-SUM(O9:O11,O13:O14),1)</f>
        <v>0</v>
      </c>
      <c r="P16" s="228"/>
      <c r="Q16" s="228">
        <f>ROUND(Q15-SUM(Q9:Q11,Q13:Q14),1)</f>
        <v>0</v>
      </c>
      <c r="S16" s="228">
        <f>ROUND(S15-SUM(S9:S11,S13:S14),1)</f>
        <v>0</v>
      </c>
      <c r="U16" s="228">
        <f>ROUND(U15-SUM(U9:U11,U13:U14),1)</f>
        <v>0</v>
      </c>
      <c r="W16" s="228">
        <f>ROUND(W15-SUM(W9:W11,W13:W14),1)</f>
        <v>0</v>
      </c>
      <c r="Y16" s="228">
        <f>ROUND(Y15-SUM(Y9:Y11,Y13:Y14),1)</f>
        <v>0</v>
      </c>
      <c r="Z16" s="241"/>
      <c r="AA16" s="228">
        <f>ROUND(AA15-SUM(AA9:AA11,AA13:AA14),1)</f>
        <v>0</v>
      </c>
      <c r="AC16" s="228">
        <f>ROUND(AC15-SUM(AC9:AC11,AC13:AC14),1)</f>
        <v>0</v>
      </c>
      <c r="AE16" s="228">
        <f>ROUND(AE15-SUM(AE9:AE11,AE13:AE14),1)</f>
        <v>0</v>
      </c>
      <c r="AF16" s="230"/>
      <c r="AG16" s="228">
        <f>ROUND(AG15-SUM(AG9:AG11,AG13:AG14),1)</f>
        <v>0</v>
      </c>
      <c r="AH16" s="230"/>
      <c r="AI16" s="196"/>
      <c r="AJ16" s="230"/>
      <c r="AK16" s="196"/>
      <c r="AL16" s="230"/>
      <c r="AM16" s="196"/>
      <c r="AN16" s="230"/>
    </row>
    <row r="17" spans="1:40" ht="12" collapsed="1" x14ac:dyDescent="0.2">
      <c r="A17" s="2"/>
      <c r="B17" s="2"/>
      <c r="C17" s="39"/>
      <c r="D17" s="46"/>
      <c r="E17" s="228"/>
      <c r="F17" s="228"/>
      <c r="G17" s="196"/>
      <c r="H17" s="228"/>
      <c r="I17" s="196"/>
      <c r="J17" s="196"/>
      <c r="K17" s="228"/>
      <c r="M17" s="196"/>
      <c r="O17" s="228"/>
      <c r="P17" s="228"/>
      <c r="Q17" s="196"/>
      <c r="S17" s="196"/>
      <c r="U17" s="196"/>
      <c r="W17" s="228"/>
      <c r="Y17" s="196"/>
      <c r="Z17" s="241"/>
      <c r="AA17" s="229"/>
      <c r="AC17" s="228"/>
      <c r="AE17" s="196"/>
      <c r="AF17" s="230"/>
      <c r="AG17" s="228"/>
      <c r="AH17" s="230"/>
      <c r="AI17" s="196"/>
      <c r="AJ17" s="230"/>
      <c r="AK17" s="196"/>
      <c r="AL17" s="230"/>
      <c r="AM17" s="196"/>
      <c r="AN17" s="230"/>
    </row>
    <row r="18" spans="1:40" ht="17.399999999999999" x14ac:dyDescent="0.3">
      <c r="C18" s="102" t="s">
        <v>158</v>
      </c>
      <c r="D18" s="89"/>
      <c r="E18" s="231"/>
      <c r="F18" s="196"/>
      <c r="G18" s="196"/>
      <c r="H18" s="196"/>
      <c r="I18" s="196"/>
      <c r="J18" s="196"/>
      <c r="K18" s="196"/>
      <c r="M18" s="196"/>
      <c r="O18" s="196"/>
      <c r="P18" s="196"/>
      <c r="Q18" s="196"/>
      <c r="S18" s="196"/>
      <c r="U18" s="196"/>
      <c r="W18" s="196"/>
      <c r="Y18" s="229"/>
      <c r="Z18" s="225"/>
      <c r="AA18" s="196"/>
      <c r="AC18" s="196"/>
      <c r="AE18" s="196"/>
      <c r="AF18" s="225"/>
      <c r="AG18" s="196"/>
      <c r="AH18" s="225"/>
      <c r="AI18" s="196"/>
      <c r="AJ18" s="225"/>
      <c r="AK18" s="196"/>
      <c r="AL18" s="225"/>
      <c r="AM18" s="196"/>
      <c r="AN18" s="225"/>
    </row>
    <row r="19" spans="1:40" ht="24" x14ac:dyDescent="0.25">
      <c r="A19" s="96" t="s">
        <v>150</v>
      </c>
      <c r="B19" s="2"/>
      <c r="C19" s="4" t="s">
        <v>107</v>
      </c>
      <c r="D19" s="46"/>
      <c r="E19" s="199" t="str">
        <f>"AuM 
"&amp;TEXT(DAY(E$1),"00")&amp;"."&amp;TEXT(MONTH(E$1),"00")&amp;"."&amp;YEAR(E$1)</f>
        <v>AuM 
31.03.2026</v>
      </c>
      <c r="F19" s="199" t="str">
        <f>"AuM 
"&amp;TEXT(DAY(F$1),"00")&amp;"."&amp;TEXT(MONTH(F$1),"00")&amp;"."&amp;YEAR(F$1)</f>
        <v>AuM 
31.03.2025</v>
      </c>
      <c r="G19" s="195" t="s">
        <v>103</v>
      </c>
      <c r="H19" s="199" t="str">
        <f>"AuM 
"&amp;TEXT(DAY(H$1),"00")&amp;"."&amp;TEXT(MONTH(H$1),"00")&amp;"."&amp;YEAR(H$1)</f>
        <v>AuM 
31.12.2025</v>
      </c>
      <c r="I19" s="195" t="s">
        <v>104</v>
      </c>
      <c r="J19" s="196"/>
      <c r="K19" s="199" t="str">
        <f>"AuM 
"&amp;TEXT(DAY(K$1),"00")&amp;"."&amp;TEXT(MONTH(K$1),"00")&amp;"."&amp;YEAR(K$1)</f>
        <v>AuM 
31.12.2025</v>
      </c>
      <c r="M19" s="199" t="str">
        <f>"AuM 
"&amp;TEXT(DAY(M$1),"00")&amp;"."&amp;TEXT(MONTH(M$1),"00")&amp;"."&amp;YEAR(M$1)</f>
        <v>AuM 
30.09.2025</v>
      </c>
      <c r="O19" s="199" t="str">
        <f>"AuM 
"&amp;TEXT(DAY(O$1),"00")&amp;"."&amp;TEXT(MONTH(O$1),"00")&amp;"."&amp;YEAR(O$1)</f>
        <v>AuM 
30.06.2025</v>
      </c>
      <c r="P19" s="229"/>
      <c r="Q19" s="199" t="str">
        <f>"AuM 
"&amp;TEXT(DAY(Q$1),"00")&amp;"."&amp;TEXT(MONTH(Q$1),"00")&amp;"."&amp;YEAR(Q$1)</f>
        <v>AuM 
31.03.2025</v>
      </c>
      <c r="S19" s="199" t="str">
        <f>"AuM 
"&amp;TEXT(DAY(S$1),"00")&amp;"."&amp;TEXT(MONTH(S$1),"00")&amp;"."&amp;YEAR(S$1)</f>
        <v>AuM 
31.12.2024</v>
      </c>
      <c r="U19" s="199" t="str">
        <f>"AuM 
"&amp;TEXT(DAY(U$1),"00")&amp;"."&amp;TEXT(MONTH(U$1),"00")&amp;"."&amp;YEAR(U$1)</f>
        <v>AuM 
30.09.2024</v>
      </c>
      <c r="W19" s="199" t="str">
        <f>"AuM 
"&amp;TEXT(DAY(W$1),"00")&amp;"."&amp;TEXT(MONTH(W$1),"00")&amp;"."&amp;YEAR(W$1)</f>
        <v>AuM 
30.06.2024</v>
      </c>
      <c r="Y19" s="199" t="str">
        <f>"AuM 
"&amp;TEXT(DAY(Y$1),"00")&amp;"."&amp;TEXT(MONTH(Y$1),"00")&amp;"."&amp;YEAR(Y$1)</f>
        <v>AuM 
31.03.2024</v>
      </c>
      <c r="Z19" s="339"/>
      <c r="AA19" s="199" t="str">
        <f>"AuM 
"&amp;TEXT(DAY(AA$1),"00")&amp;"."&amp;TEXT(MONTH(AA$1),"00")&amp;"."&amp;YEAR(AA$1)</f>
        <v>AuM 
31.12.2023</v>
      </c>
      <c r="AC19" s="199" t="str">
        <f>"AuM 
"&amp;TEXT(DAY(AC$1),"00")&amp;"."&amp;TEXT(MONTH(AC$1),"00")&amp;"."&amp;YEAR(AC$1)</f>
        <v>AuM 
30.09.2023</v>
      </c>
      <c r="AE19" s="199" t="str">
        <f>"AuM 
"&amp;TEXT(DAY(AE$1),"00")&amp;"."&amp;TEXT(MONTH(AE$1),"00")&amp;"."&amp;YEAR(AE$1)</f>
        <v>AuM 
30.06.2023</v>
      </c>
      <c r="AG19" s="199" t="str">
        <f>"AuM 
"&amp;TEXT(DAY(AG$1),"00")&amp;"."&amp;TEXT(MONTH(AG$1),"00")&amp;"."&amp;YEAR(AG$1)</f>
        <v>AuM 
31.03.2023</v>
      </c>
    </row>
    <row r="20" spans="1:40" ht="15" customHeight="1" x14ac:dyDescent="0.25">
      <c r="A20" s="40" t="s">
        <v>159</v>
      </c>
      <c r="B20" s="31"/>
      <c r="C20" s="290" t="s">
        <v>108</v>
      </c>
      <c r="D20" s="47"/>
      <c r="E20" s="732">
        <v>736492194856.58398</v>
      </c>
      <c r="F20" s="732">
        <v>723700952433.58582</v>
      </c>
      <c r="G20" s="733">
        <f t="shared" ref="G20:G26" si="3">IF(ISERROR($E20*F20),"NM",IF($E20*F20&gt;0,IF($E20/F20&gt;2,"NM",$E20/F20-1),"NM"))</f>
        <v>1.7674762455383242E-2</v>
      </c>
      <c r="H20" s="732">
        <v>735554432463.81616</v>
      </c>
      <c r="I20" s="733">
        <f t="shared" ref="I20:I26" si="4">IF(ISERROR($E20*H20),"NM",IF($E20*H20&gt;0,IF($E20/H20&gt;2,"NM",$E20/H20-1),"NM"))</f>
        <v>1.2749055017269306E-3</v>
      </c>
      <c r="J20" s="196"/>
      <c r="K20" s="732">
        <v>735554432463.81616</v>
      </c>
      <c r="M20" s="732">
        <v>707175196329.48071</v>
      </c>
      <c r="O20" s="732">
        <v>678549463376.35474</v>
      </c>
      <c r="P20" s="220"/>
      <c r="Q20" s="732">
        <v>723700952433.58582</v>
      </c>
      <c r="S20" s="732">
        <v>645179999891.64001</v>
      </c>
      <c r="U20" s="732">
        <v>625224223264.00049</v>
      </c>
      <c r="W20" s="732">
        <v>607135395386.73962</v>
      </c>
      <c r="Y20" s="732">
        <v>597242726943.53955</v>
      </c>
      <c r="Z20" s="229"/>
      <c r="AA20" s="732">
        <v>559640638160.25659</v>
      </c>
      <c r="AC20" s="732">
        <v>540348157737.80603</v>
      </c>
      <c r="AE20" s="732">
        <v>546610935864.74036</v>
      </c>
      <c r="AG20" s="732">
        <v>536327521322.12</v>
      </c>
    </row>
    <row r="21" spans="1:40" ht="15" customHeight="1" x14ac:dyDescent="0.2">
      <c r="A21" s="98" t="s">
        <v>160</v>
      </c>
      <c r="B21" s="31"/>
      <c r="C21" s="290" t="s">
        <v>109</v>
      </c>
      <c r="D21" s="46"/>
      <c r="E21" s="732">
        <v>616614546410.98938</v>
      </c>
      <c r="F21" s="732">
        <v>562065505209.80298</v>
      </c>
      <c r="G21" s="733">
        <f t="shared" si="3"/>
        <v>9.7051038883492424E-2</v>
      </c>
      <c r="H21" s="732">
        <v>597039294757.4541</v>
      </c>
      <c r="I21" s="733">
        <f t="shared" si="4"/>
        <v>3.278720818784242E-2</v>
      </c>
      <c r="J21" s="196"/>
      <c r="K21" s="732">
        <v>597039294757.4541</v>
      </c>
      <c r="M21" s="732">
        <v>576024935292.17163</v>
      </c>
      <c r="O21" s="732">
        <v>560334562837.55396</v>
      </c>
      <c r="P21" s="220"/>
      <c r="Q21" s="732">
        <v>562065505209.80298</v>
      </c>
      <c r="S21" s="732">
        <v>618202516531.82666</v>
      </c>
      <c r="U21" s="732">
        <v>611321362334.09351</v>
      </c>
      <c r="W21" s="732">
        <v>605818054675.38159</v>
      </c>
      <c r="Y21" s="732">
        <v>589835928200.09973</v>
      </c>
      <c r="Z21" s="229"/>
      <c r="AA21" s="732">
        <v>544987907157.05695</v>
      </c>
      <c r="AC21" s="732">
        <v>537456580981.23169</v>
      </c>
      <c r="AE21" s="732">
        <v>528366061880.56628</v>
      </c>
      <c r="AG21" s="732">
        <v>519114071515.61865</v>
      </c>
    </row>
    <row r="22" spans="1:40" ht="15" customHeight="1" x14ac:dyDescent="0.2">
      <c r="A22" s="98" t="s">
        <v>161</v>
      </c>
      <c r="B22" s="31"/>
      <c r="C22" s="290" t="s">
        <v>179</v>
      </c>
      <c r="D22" s="46"/>
      <c r="E22" s="732">
        <v>454026490421.65002</v>
      </c>
      <c r="F22" s="732">
        <v>419124841119.51996</v>
      </c>
      <c r="G22" s="733">
        <f t="shared" si="3"/>
        <v>8.3272681258654613E-2</v>
      </c>
      <c r="H22" s="732">
        <v>443521521435.77008</v>
      </c>
      <c r="I22" s="733">
        <f t="shared" si="4"/>
        <v>2.3685364696335753E-2</v>
      </c>
      <c r="J22" s="196"/>
      <c r="K22" s="732">
        <v>443521521435.77008</v>
      </c>
      <c r="M22" s="732">
        <v>437417610327.12</v>
      </c>
      <c r="O22" s="732">
        <v>432255062561.42999</v>
      </c>
      <c r="P22" s="220"/>
      <c r="Q22" s="732">
        <v>419124841119.51996</v>
      </c>
      <c r="S22" s="732">
        <v>416749079695.50995</v>
      </c>
      <c r="U22" s="732">
        <v>410222846218.79004</v>
      </c>
      <c r="W22" s="732">
        <v>403069693737</v>
      </c>
      <c r="Y22" s="732">
        <v>403806460705.34998</v>
      </c>
      <c r="Z22" s="229"/>
      <c r="AA22" s="732">
        <v>404950955725.60004</v>
      </c>
      <c r="AC22" s="732">
        <v>387432735107.45996</v>
      </c>
      <c r="AE22" s="732">
        <v>396338924241.18994</v>
      </c>
      <c r="AG22" s="732">
        <v>397620728250.17993</v>
      </c>
    </row>
    <row r="23" spans="1:40" ht="15" customHeight="1" x14ac:dyDescent="0.2">
      <c r="A23" s="98" t="s">
        <v>441</v>
      </c>
      <c r="B23" s="31"/>
      <c r="C23" s="736" t="s">
        <v>439</v>
      </c>
      <c r="D23" s="103"/>
      <c r="E23" s="229">
        <v>376085531316.60083</v>
      </c>
      <c r="F23" s="229">
        <v>329239448027.13007</v>
      </c>
      <c r="G23" s="737">
        <f t="shared" si="3"/>
        <v>0.14228575454788928</v>
      </c>
      <c r="H23" s="229">
        <v>387109468479.50989</v>
      </c>
      <c r="I23" s="737">
        <f t="shared" si="4"/>
        <v>-2.8477570456255985E-2</v>
      </c>
      <c r="J23" s="196"/>
      <c r="K23" s="229">
        <v>387109468479.50989</v>
      </c>
      <c r="M23" s="229">
        <v>377497779371.88611</v>
      </c>
      <c r="O23" s="229">
        <v>379588923388.27722</v>
      </c>
      <c r="P23" s="229"/>
      <c r="Q23" s="229">
        <v>329239448027.13007</v>
      </c>
      <c r="S23" s="229">
        <v>338366344265.32001</v>
      </c>
      <c r="U23" s="229">
        <v>325794527107.37006</v>
      </c>
      <c r="W23" s="229">
        <v>321634913205.96991</v>
      </c>
      <c r="Y23" s="229">
        <v>300780688715.39996</v>
      </c>
      <c r="Z23" s="229"/>
      <c r="AA23" s="229">
        <v>284532359600.19995</v>
      </c>
      <c r="AC23" s="229">
        <v>279512636065.20001</v>
      </c>
      <c r="AE23" s="229">
        <v>266765678709.20007</v>
      </c>
      <c r="AG23" s="229">
        <v>263205184138.26999</v>
      </c>
    </row>
    <row r="24" spans="1:40" ht="15" customHeight="1" x14ac:dyDescent="0.2">
      <c r="A24" s="31" t="s">
        <v>162</v>
      </c>
      <c r="B24" s="31"/>
      <c r="C24" s="740" t="s">
        <v>106</v>
      </c>
      <c r="D24" s="103"/>
      <c r="E24" s="220">
        <v>316958220672.59003</v>
      </c>
      <c r="F24" s="220">
        <v>329239448027.13007</v>
      </c>
      <c r="G24" s="286">
        <f t="shared" si="3"/>
        <v>-3.7301810059917395E-2</v>
      </c>
      <c r="H24" s="220">
        <v>328031142681.85992</v>
      </c>
      <c r="I24" s="286">
        <f t="shared" si="4"/>
        <v>-3.37557035552839E-2</v>
      </c>
      <c r="J24" s="196"/>
      <c r="K24" s="220">
        <v>328031142681.85992</v>
      </c>
      <c r="M24" s="220">
        <v>318468625582.51001</v>
      </c>
      <c r="O24" s="220">
        <v>322745001612.22998</v>
      </c>
      <c r="P24" s="220"/>
      <c r="Q24" s="220">
        <v>329239448027.13007</v>
      </c>
      <c r="S24" s="220">
        <v>338366344265.32001</v>
      </c>
      <c r="U24" s="220">
        <v>325794527107.37006</v>
      </c>
      <c r="W24" s="220">
        <v>321634913205.96991</v>
      </c>
      <c r="Y24" s="220">
        <v>300780688715.39996</v>
      </c>
      <c r="Z24" s="220"/>
      <c r="AA24" s="220">
        <v>284532359600.19995</v>
      </c>
      <c r="AC24" s="220">
        <v>279512636065.20001</v>
      </c>
      <c r="AE24" s="220">
        <v>266765678709.19995</v>
      </c>
      <c r="AG24" s="220">
        <v>263205184138.26996</v>
      </c>
    </row>
    <row r="25" spans="1:40" ht="15" customHeight="1" x14ac:dyDescent="0.2">
      <c r="A25" s="31" t="s">
        <v>205</v>
      </c>
      <c r="B25" s="31"/>
      <c r="C25" s="740" t="s">
        <v>207</v>
      </c>
      <c r="D25" s="103"/>
      <c r="E25" s="220">
        <v>59127310644.010803</v>
      </c>
      <c r="F25" s="220">
        <v>0</v>
      </c>
      <c r="G25" s="286" t="str">
        <f t="shared" si="3"/>
        <v>NM</v>
      </c>
      <c r="H25" s="220">
        <v>59078325797.649933</v>
      </c>
      <c r="I25" s="286">
        <f t="shared" si="4"/>
        <v>8.2915088908652734E-4</v>
      </c>
      <c r="J25" s="196"/>
      <c r="K25" s="220">
        <v>59078325797.649933</v>
      </c>
      <c r="M25" s="220">
        <v>59029153789.376106</v>
      </c>
      <c r="O25" s="220">
        <v>56843921776.047264</v>
      </c>
      <c r="P25" s="741"/>
      <c r="Q25" s="220">
        <v>0</v>
      </c>
      <c r="S25" s="220">
        <v>0</v>
      </c>
      <c r="U25" s="220">
        <v>0</v>
      </c>
      <c r="W25" s="220">
        <v>0</v>
      </c>
      <c r="Y25" s="220">
        <v>0</v>
      </c>
      <c r="Z25" s="220"/>
      <c r="AA25" s="220">
        <v>0</v>
      </c>
      <c r="AC25" s="220">
        <v>0</v>
      </c>
      <c r="AE25" s="220">
        <v>0</v>
      </c>
      <c r="AG25" s="220">
        <v>0</v>
      </c>
    </row>
    <row r="26" spans="1:40" ht="12" x14ac:dyDescent="0.2">
      <c r="A26" s="99" t="s">
        <v>119</v>
      </c>
      <c r="B26" s="31"/>
      <c r="C26" s="150" t="s">
        <v>110</v>
      </c>
      <c r="D26" s="56"/>
      <c r="E26" s="738">
        <v>2183218763005.8262</v>
      </c>
      <c r="F26" s="738">
        <v>2034130746790.0403</v>
      </c>
      <c r="G26" s="739">
        <f t="shared" si="3"/>
        <v>7.3293231740906739E-2</v>
      </c>
      <c r="H26" s="738">
        <v>2163224717136.5496</v>
      </c>
      <c r="I26" s="739">
        <f t="shared" si="4"/>
        <v>9.2427040569982299E-3</v>
      </c>
      <c r="J26" s="196"/>
      <c r="K26" s="738">
        <v>2163224717136.5496</v>
      </c>
      <c r="M26" s="738">
        <v>2098115521320.6577</v>
      </c>
      <c r="O26" s="738">
        <v>2050728012163.6152</v>
      </c>
      <c r="Q26" s="738">
        <v>2034130746790.0403</v>
      </c>
      <c r="S26" s="738">
        <v>2018497940384.2974</v>
      </c>
      <c r="U26" s="738">
        <v>1972562958924.2534</v>
      </c>
      <c r="W26" s="738">
        <v>1937658057005.0935</v>
      </c>
      <c r="Y26" s="738">
        <v>1891665804564.3889</v>
      </c>
      <c r="Z26" s="222"/>
      <c r="AA26" s="738">
        <v>1794111860643.1135</v>
      </c>
      <c r="AC26" s="738">
        <v>1744750109891.6975</v>
      </c>
      <c r="AE26" s="738">
        <v>1738081600695.6968</v>
      </c>
      <c r="AG26" s="738">
        <v>1716267505226.1887</v>
      </c>
    </row>
    <row r="27" spans="1:40" hidden="1" outlineLevel="1" x14ac:dyDescent="0.2">
      <c r="A27" s="2"/>
      <c r="B27" s="2"/>
      <c r="C27" s="39"/>
      <c r="D27" s="46"/>
      <c r="E27" s="228">
        <f>ROUND(E26-SUM(E20:E22,E24:E25),1)</f>
        <v>0</v>
      </c>
      <c r="F27" s="228">
        <f t="shared" ref="F27:K27" si="5">ROUND(F26-SUM(F20:F22,F24:F25),1)</f>
        <v>0</v>
      </c>
      <c r="G27" s="228"/>
      <c r="H27" s="228">
        <f t="shared" si="5"/>
        <v>0</v>
      </c>
      <c r="I27" s="228"/>
      <c r="J27" s="228"/>
      <c r="K27" s="228">
        <f t="shared" si="5"/>
        <v>0</v>
      </c>
      <c r="M27" s="228">
        <f>ROUND(M26-SUM(M20:M22,M24:M25),1)</f>
        <v>0</v>
      </c>
      <c r="O27" s="228">
        <f>ROUND(O26-SUM(O20:O22,O24:O25),1)</f>
        <v>0</v>
      </c>
      <c r="P27" s="228"/>
      <c r="Q27" s="228">
        <f>ROUND(Q26-SUM(Q20:Q22,Q24:Q25),1)</f>
        <v>0</v>
      </c>
      <c r="S27" s="228">
        <f>ROUND(S26-SUM(S20:S22,S24:S25),1)</f>
        <v>0</v>
      </c>
      <c r="U27" s="228">
        <f>ROUND(U26-SUM(U20:U22,U24:U25),1)</f>
        <v>0</v>
      </c>
      <c r="W27" s="228">
        <f>ROUND(W26-SUM(W20:W22,W24:W25),1)</f>
        <v>0</v>
      </c>
      <c r="Y27" s="228">
        <f>ROUND(Y26-SUM(Y20:Y22,Y24:Y25),1)</f>
        <v>0</v>
      </c>
      <c r="Z27" s="242"/>
      <c r="AA27" s="228">
        <f>ROUND(AA26-SUM(AA20:AA22,AA24:AA25),1)</f>
        <v>0</v>
      </c>
      <c r="AC27" s="228">
        <f>ROUND(AC26-SUM(AC20:AC22,AC24:AC25),1)</f>
        <v>0</v>
      </c>
      <c r="AE27" s="228">
        <f>ROUND(AE26-SUM(AE20:AE22,AE24:AE25),1)</f>
        <v>0</v>
      </c>
      <c r="AF27" s="232"/>
      <c r="AG27" s="228">
        <f>ROUND(AG26-SUM(AG20:AG22,AG24:AG25),1)</f>
        <v>0</v>
      </c>
      <c r="AH27" s="232"/>
      <c r="AI27" s="196"/>
      <c r="AJ27" s="232"/>
      <c r="AK27" s="196"/>
      <c r="AL27" s="232"/>
      <c r="AM27" s="196"/>
      <c r="AN27" s="232"/>
    </row>
    <row r="28" spans="1:40" ht="12" collapsed="1" x14ac:dyDescent="0.2">
      <c r="A28" s="2"/>
      <c r="B28" s="2"/>
      <c r="C28" s="39"/>
      <c r="D28" s="46"/>
      <c r="E28" s="228"/>
      <c r="F28" s="228"/>
      <c r="G28" s="196"/>
      <c r="H28" s="228"/>
      <c r="I28" s="196"/>
      <c r="J28" s="196"/>
      <c r="K28" s="228"/>
      <c r="M28" s="196"/>
      <c r="O28" s="228"/>
      <c r="P28" s="228"/>
      <c r="Q28" s="196"/>
      <c r="S28" s="196"/>
      <c r="U28" s="196"/>
      <c r="W28" s="228"/>
      <c r="Y28" s="229"/>
      <c r="Z28" s="242"/>
      <c r="AA28" s="229"/>
      <c r="AC28" s="228"/>
      <c r="AE28" s="196"/>
      <c r="AF28" s="232"/>
      <c r="AG28" s="228"/>
      <c r="AH28" s="232"/>
      <c r="AI28" s="196"/>
      <c r="AJ28" s="232"/>
      <c r="AK28" s="196"/>
      <c r="AL28" s="232"/>
      <c r="AM28" s="196"/>
      <c r="AN28" s="232"/>
    </row>
    <row r="29" spans="1:40" ht="17.399999999999999" x14ac:dyDescent="0.3">
      <c r="C29" s="102" t="s">
        <v>163</v>
      </c>
      <c r="D29" s="89"/>
      <c r="E29" s="231"/>
      <c r="F29" s="196"/>
      <c r="G29" s="196"/>
      <c r="H29" s="196"/>
      <c r="I29" s="196"/>
      <c r="J29" s="196"/>
      <c r="K29" s="196"/>
      <c r="M29" s="196"/>
      <c r="O29" s="196"/>
      <c r="P29" s="196"/>
      <c r="Q29" s="196"/>
      <c r="S29" s="196"/>
      <c r="U29" s="196"/>
      <c r="W29" s="196"/>
      <c r="Y29" s="196"/>
      <c r="Z29" s="225"/>
      <c r="AA29" s="196"/>
      <c r="AC29" s="196"/>
      <c r="AE29" s="196"/>
      <c r="AF29" s="225"/>
      <c r="AG29" s="196"/>
      <c r="AH29" s="225"/>
      <c r="AI29" s="196"/>
      <c r="AJ29" s="225"/>
      <c r="AK29" s="196"/>
      <c r="AL29" s="225"/>
      <c r="AM29" s="196"/>
      <c r="AN29" s="225"/>
    </row>
    <row r="30" spans="1:40" ht="24" x14ac:dyDescent="0.25">
      <c r="A30" s="96" t="s">
        <v>150</v>
      </c>
      <c r="B30" s="2"/>
      <c r="C30" s="4" t="s">
        <v>107</v>
      </c>
      <c r="D30" s="46"/>
      <c r="E30" s="199" t="str">
        <f>"AuM 
"&amp;TEXT(DAY(E$1),"00")&amp;"."&amp;TEXT(MONTH(E$1),"00")&amp;"."&amp;YEAR(E$1)</f>
        <v>AuM 
31.03.2026</v>
      </c>
      <c r="F30" s="199" t="str">
        <f>"AuM 
"&amp;TEXT(DAY(F$1),"00")&amp;"."&amp;TEXT(MONTH(F$1),"00")&amp;"."&amp;YEAR(F$1)</f>
        <v>AuM 
31.03.2025</v>
      </c>
      <c r="G30" s="195" t="s">
        <v>103</v>
      </c>
      <c r="H30" s="199" t="str">
        <f>"AuM 
"&amp;TEXT(DAY(H$1),"00")&amp;"."&amp;TEXT(MONTH(H$1),"00")&amp;"."&amp;YEAR(H$1)</f>
        <v>AuM 
31.12.2025</v>
      </c>
      <c r="I30" s="195" t="s">
        <v>104</v>
      </c>
      <c r="J30" s="196"/>
      <c r="K30" s="199" t="str">
        <f>"AuM 
"&amp;TEXT(DAY(K$1),"00")&amp;"."&amp;TEXT(MONTH(K$1),"00")&amp;"."&amp;YEAR(K$1)</f>
        <v>AuM 
31.12.2025</v>
      </c>
      <c r="M30" s="199" t="str">
        <f>"AuM 
"&amp;TEXT(DAY(M$1),"00")&amp;"."&amp;TEXT(MONTH(M$1),"00")&amp;"."&amp;YEAR(M$1)</f>
        <v>AuM 
30.09.2025</v>
      </c>
      <c r="O30" s="199" t="str">
        <f>"AuM 
"&amp;TEXT(DAY(O$1),"00")&amp;"."&amp;TEXT(MONTH(O$1),"00")&amp;"."&amp;YEAR(O$1)</f>
        <v>AuM 
30.06.2025</v>
      </c>
      <c r="P30" s="229"/>
      <c r="Q30" s="199" t="str">
        <f>"AuM 
"&amp;TEXT(DAY(Q$1),"00")&amp;"."&amp;TEXT(MONTH(Q$1),"00")&amp;"."&amp;YEAR(Q$1)</f>
        <v>AuM 
31.03.2025</v>
      </c>
      <c r="S30" s="199" t="str">
        <f>"AuM 
"&amp;TEXT(DAY(S$1),"00")&amp;"."&amp;TEXT(MONTH(S$1),"00")&amp;"."&amp;YEAR(S$1)</f>
        <v>AuM 
31.12.2024</v>
      </c>
      <c r="U30" s="199" t="str">
        <f>"AuM 
"&amp;TEXT(DAY(U$1),"00")&amp;"."&amp;TEXT(MONTH(U$1),"00")&amp;"."&amp;YEAR(U$1)</f>
        <v>AuM 
30.09.2024</v>
      </c>
      <c r="W30" s="199" t="str">
        <f>"AuM 
"&amp;TEXT(DAY(W$1),"00")&amp;"."&amp;TEXT(MONTH(W$1),"00")&amp;"."&amp;YEAR(W$1)</f>
        <v>AuM 
30.06.2024</v>
      </c>
      <c r="Y30" s="199" t="str">
        <f>"AuM 
"&amp;TEXT(DAY(Y$1),"00")&amp;"."&amp;TEXT(MONTH(Y$1),"00")&amp;"."&amp;YEAR(Y$1)</f>
        <v>AuM 
31.03.2024</v>
      </c>
      <c r="Z30" s="339"/>
      <c r="AA30" s="199" t="str">
        <f>"AuM 
"&amp;TEXT(DAY(AA$1),"00")&amp;"."&amp;TEXT(MONTH(AA$1),"00")&amp;"."&amp;YEAR(AA$1)</f>
        <v>AuM 
31.12.2023</v>
      </c>
      <c r="AC30" s="199" t="str">
        <f>"AuM 
"&amp;TEXT(DAY(AC$1),"00")&amp;"."&amp;TEXT(MONTH(AC$1),"00")&amp;"."&amp;YEAR(AC$1)</f>
        <v>AuM 
30.09.2023</v>
      </c>
      <c r="AE30" s="199" t="str">
        <f>"AuM 
"&amp;TEXT(DAY(AE$1),"00")&amp;"."&amp;TEXT(MONTH(AE$1),"00")&amp;"."&amp;YEAR(AE$1)</f>
        <v>AuM 
30.06.2023</v>
      </c>
      <c r="AG30" s="199" t="str">
        <f>"AuM 
"&amp;TEXT(DAY(AG$1),"00")&amp;"."&amp;TEXT(MONTH(AG$1),"00")&amp;"."&amp;YEAR(AG$1)</f>
        <v>AuM 
31.03.2023</v>
      </c>
    </row>
    <row r="31" spans="1:40" ht="15" customHeight="1" x14ac:dyDescent="0.25">
      <c r="A31" s="40" t="s">
        <v>164</v>
      </c>
      <c r="B31" s="31"/>
      <c r="C31" s="290" t="s">
        <v>108</v>
      </c>
      <c r="D31" s="47"/>
      <c r="E31" s="732">
        <v>75715177215.619751</v>
      </c>
      <c r="F31" s="732">
        <v>71191796520.741241</v>
      </c>
      <c r="G31" s="733">
        <f t="shared" ref="G31:G37" si="6">IF(ISERROR($E31*F31),"NM",IF($E31*F31&gt;0,IF($E31/F31&gt;2,"NM",$E31/F31-1),"NM"))</f>
        <v>6.3537948414613465E-2</v>
      </c>
      <c r="H31" s="732">
        <v>72403905266.535217</v>
      </c>
      <c r="I31" s="733">
        <f t="shared" ref="I31:I37" si="7">IF(ISERROR($E31*H31),"NM",IF($E31*H31&gt;0,IF($E31/H31&gt;2,"NM",$E31/H31-1),"NM"))</f>
        <v>4.5733333539054177E-2</v>
      </c>
      <c r="J31" s="196"/>
      <c r="K31" s="732">
        <v>72403905266.535217</v>
      </c>
      <c r="M31" s="732">
        <v>74285087674.165009</v>
      </c>
      <c r="O31" s="732">
        <v>72834766112.394104</v>
      </c>
      <c r="P31" s="220"/>
      <c r="Q31" s="732">
        <v>71191796520.741241</v>
      </c>
      <c r="S31" s="732">
        <v>61307130778.070023</v>
      </c>
      <c r="U31" s="732">
        <v>56091167189.230011</v>
      </c>
      <c r="W31" s="732">
        <v>50653873290.690002</v>
      </c>
      <c r="Y31" s="732">
        <v>49539554734.979988</v>
      </c>
      <c r="Z31" s="229"/>
      <c r="AA31" s="732">
        <v>51352125410.290009</v>
      </c>
      <c r="AC31" s="732">
        <v>46632018293.420013</v>
      </c>
      <c r="AE31" s="732">
        <v>43754728503.270004</v>
      </c>
      <c r="AG31" s="732">
        <v>41536967526.350014</v>
      </c>
    </row>
    <row r="32" spans="1:40" ht="15" customHeight="1" x14ac:dyDescent="0.25">
      <c r="A32" s="40" t="s">
        <v>165</v>
      </c>
      <c r="B32" s="31"/>
      <c r="C32" s="290" t="s">
        <v>109</v>
      </c>
      <c r="D32" s="47"/>
      <c r="E32" s="732">
        <v>92282016370.630249</v>
      </c>
      <c r="F32" s="732">
        <v>98121446650.228821</v>
      </c>
      <c r="G32" s="733">
        <f t="shared" si="6"/>
        <v>-5.9512272586178305E-2</v>
      </c>
      <c r="H32" s="732">
        <v>95536899349.934784</v>
      </c>
      <c r="I32" s="733">
        <f t="shared" si="7"/>
        <v>-3.4069380537277816E-2</v>
      </c>
      <c r="J32" s="196"/>
      <c r="K32" s="732">
        <v>95536899349.934784</v>
      </c>
      <c r="M32" s="732">
        <v>96221212269.964996</v>
      </c>
      <c r="O32" s="732">
        <v>94472177032.225891</v>
      </c>
      <c r="P32" s="220"/>
      <c r="Q32" s="732">
        <v>98121446650.228821</v>
      </c>
      <c r="S32" s="732">
        <v>114134633214.48997</v>
      </c>
      <c r="U32" s="732">
        <v>111497706027.14</v>
      </c>
      <c r="W32" s="732">
        <v>111808433854.49002</v>
      </c>
      <c r="Y32" s="732">
        <v>119709701923.14999</v>
      </c>
      <c r="Z32" s="229"/>
      <c r="AA32" s="732">
        <v>138053939090.56</v>
      </c>
      <c r="AC32" s="732">
        <v>132421476316.26996</v>
      </c>
      <c r="AE32" s="732">
        <v>129029330042.62001</v>
      </c>
      <c r="AG32" s="732">
        <v>128424804909.96001</v>
      </c>
    </row>
    <row r="33" spans="1:41" ht="15" customHeight="1" x14ac:dyDescent="0.2">
      <c r="A33" s="98" t="s">
        <v>166</v>
      </c>
      <c r="B33" s="31"/>
      <c r="C33" s="290" t="s">
        <v>179</v>
      </c>
      <c r="D33" s="46"/>
      <c r="E33" s="732">
        <v>10608307083</v>
      </c>
      <c r="F33" s="732">
        <v>11074440602.48</v>
      </c>
      <c r="G33" s="733">
        <f t="shared" si="6"/>
        <v>-4.2090931380824204E-2</v>
      </c>
      <c r="H33" s="732">
        <v>11592717499.139999</v>
      </c>
      <c r="I33" s="733">
        <f t="shared" si="7"/>
        <v>-8.4916277500338255E-2</v>
      </c>
      <c r="J33" s="196"/>
      <c r="K33" s="732">
        <v>11592717499.139999</v>
      </c>
      <c r="M33" s="732">
        <v>12244507619.27</v>
      </c>
      <c r="O33" s="732">
        <v>12393832999.25</v>
      </c>
      <c r="P33" s="220"/>
      <c r="Q33" s="732">
        <v>11074440602.48</v>
      </c>
      <c r="S33" s="732">
        <v>12626424734.67</v>
      </c>
      <c r="U33" s="732">
        <v>17672592263</v>
      </c>
      <c r="W33" s="732">
        <v>21138926107</v>
      </c>
      <c r="Y33" s="732">
        <v>23588297038</v>
      </c>
      <c r="Z33" s="229"/>
      <c r="AA33" s="732">
        <v>21785579634.75</v>
      </c>
      <c r="AC33" s="732">
        <v>19058251423.279999</v>
      </c>
      <c r="AE33" s="732">
        <v>19692668716.299999</v>
      </c>
      <c r="AG33" s="732">
        <v>18557258278.049999</v>
      </c>
    </row>
    <row r="34" spans="1:41" ht="15" customHeight="1" x14ac:dyDescent="0.2">
      <c r="A34" s="98" t="s">
        <v>442</v>
      </c>
      <c r="B34" s="31"/>
      <c r="C34" s="736" t="s">
        <v>439</v>
      </c>
      <c r="D34" s="103"/>
      <c r="E34" s="229">
        <v>36503628827.589996</v>
      </c>
      <c r="F34" s="229">
        <v>32668535938.630005</v>
      </c>
      <c r="G34" s="737">
        <f>IF(ISERROR($E34*F34),"NM",IF($E34*F34&gt;0,IF($E34/F34&gt;2,"NM",$E34/F34-1),"NM"))</f>
        <v>0.11739408512718374</v>
      </c>
      <c r="H34" s="229">
        <v>37151472313.778999</v>
      </c>
      <c r="I34" s="737">
        <f>IF(ISERROR($E34*H34),"NM",IF($E34*H34&gt;0,IF($E34/H34&gt;2,"NM",$E34/H34-1),"NM"))</f>
        <v>-1.7437895346848142E-2</v>
      </c>
      <c r="J34" s="196"/>
      <c r="K34" s="229">
        <v>37151472313.778999</v>
      </c>
      <c r="M34" s="229">
        <v>36561843564.74398</v>
      </c>
      <c r="O34" s="229">
        <v>36710026473.295273</v>
      </c>
      <c r="P34" s="229"/>
      <c r="Q34" s="229">
        <v>32668535938.630005</v>
      </c>
      <c r="S34" s="229">
        <v>33500239345.970001</v>
      </c>
      <c r="U34" s="229">
        <v>33720809017.34</v>
      </c>
      <c r="W34" s="229">
        <v>34838400516.68</v>
      </c>
      <c r="Y34" s="229">
        <v>31641669089.150002</v>
      </c>
      <c r="Z34" s="229"/>
      <c r="AA34" s="229">
        <v>31284528790.970001</v>
      </c>
      <c r="AC34" s="229">
        <v>30442537410.759998</v>
      </c>
      <c r="AE34" s="229">
        <v>30758573495.580002</v>
      </c>
      <c r="AG34" s="229">
        <v>29075046289.519997</v>
      </c>
    </row>
    <row r="35" spans="1:41" ht="15" customHeight="1" x14ac:dyDescent="0.2">
      <c r="A35" s="31" t="s">
        <v>167</v>
      </c>
      <c r="B35" s="31"/>
      <c r="C35" s="740" t="s">
        <v>106</v>
      </c>
      <c r="D35" s="103"/>
      <c r="E35" s="220">
        <v>35688003827.590004</v>
      </c>
      <c r="F35" s="220">
        <v>32668535938.630001</v>
      </c>
      <c r="G35" s="286">
        <f t="shared" si="6"/>
        <v>9.2427401541111953E-2</v>
      </c>
      <c r="H35" s="220">
        <v>36322939638.07</v>
      </c>
      <c r="I35" s="286">
        <f t="shared" si="7"/>
        <v>-1.7480298037731545E-2</v>
      </c>
      <c r="J35" s="196"/>
      <c r="K35" s="220">
        <v>36322939638.07</v>
      </c>
      <c r="M35" s="220">
        <v>35749043871.139999</v>
      </c>
      <c r="O35" s="220">
        <v>35902280498.339996</v>
      </c>
      <c r="P35" s="220"/>
      <c r="Q35" s="220">
        <v>32668535938.630001</v>
      </c>
      <c r="S35" s="220">
        <v>33500239345.969997</v>
      </c>
      <c r="U35" s="220">
        <v>33720809017.339996</v>
      </c>
      <c r="W35" s="220">
        <v>34838400516.679993</v>
      </c>
      <c r="Y35" s="220">
        <v>31641669089.149998</v>
      </c>
      <c r="Z35" s="220"/>
      <c r="AA35" s="220">
        <v>31284528790.970001</v>
      </c>
      <c r="AC35" s="220">
        <v>30442537410.759998</v>
      </c>
      <c r="AE35" s="220">
        <v>30758573495.579998</v>
      </c>
      <c r="AG35" s="220">
        <v>29075046289.52</v>
      </c>
    </row>
    <row r="36" spans="1:41" ht="15" customHeight="1" x14ac:dyDescent="0.2">
      <c r="A36" s="31" t="s">
        <v>206</v>
      </c>
      <c r="B36" s="31"/>
      <c r="C36" s="740" t="s">
        <v>208</v>
      </c>
      <c r="D36" s="103"/>
      <c r="E36" s="220">
        <v>815625000</v>
      </c>
      <c r="F36" s="220">
        <v>0</v>
      </c>
      <c r="G36" s="286" t="str">
        <f t="shared" si="6"/>
        <v>NM</v>
      </c>
      <c r="H36" s="220">
        <v>828532675.70900095</v>
      </c>
      <c r="I36" s="286">
        <f t="shared" si="7"/>
        <v>-1.5578957942673166E-2</v>
      </c>
      <c r="J36" s="196"/>
      <c r="K36" s="220">
        <v>828532675.70900095</v>
      </c>
      <c r="M36" s="220">
        <v>812799693.60398304</v>
      </c>
      <c r="O36" s="220">
        <v>807745974.95527697</v>
      </c>
      <c r="P36" s="741"/>
      <c r="Q36" s="220">
        <v>0</v>
      </c>
      <c r="S36" s="220">
        <v>0</v>
      </c>
      <c r="U36" s="220">
        <v>0</v>
      </c>
      <c r="W36" s="220">
        <v>0</v>
      </c>
      <c r="Y36" s="220">
        <v>0</v>
      </c>
      <c r="Z36" s="220"/>
      <c r="AA36" s="220">
        <v>0</v>
      </c>
      <c r="AC36" s="220">
        <v>0</v>
      </c>
      <c r="AE36" s="220">
        <v>0</v>
      </c>
      <c r="AG36" s="220">
        <v>0</v>
      </c>
    </row>
    <row r="37" spans="1:41" ht="12" x14ac:dyDescent="0.25">
      <c r="A37" s="99" t="s">
        <v>120</v>
      </c>
      <c r="B37" s="31"/>
      <c r="C37" s="59" t="s">
        <v>110</v>
      </c>
      <c r="D37" s="56"/>
      <c r="E37" s="226">
        <v>215109129496.83997</v>
      </c>
      <c r="F37" s="226">
        <v>213056219712.08023</v>
      </c>
      <c r="G37" s="227">
        <f t="shared" si="6"/>
        <v>9.6355308825717412E-3</v>
      </c>
      <c r="H37" s="226">
        <v>216684994429.38895</v>
      </c>
      <c r="I37" s="227">
        <f t="shared" si="7"/>
        <v>-7.272607578105772E-3</v>
      </c>
      <c r="J37" s="196"/>
      <c r="K37" s="226">
        <v>216684994429.38895</v>
      </c>
      <c r="M37" s="226">
        <v>219312651128.14392</v>
      </c>
      <c r="O37" s="226">
        <v>216410802617.16531</v>
      </c>
      <c r="P37" s="222"/>
      <c r="Q37" s="226">
        <v>213056219712.08023</v>
      </c>
      <c r="S37" s="226">
        <v>221568428073.20013</v>
      </c>
      <c r="U37" s="226">
        <v>218982274496.70999</v>
      </c>
      <c r="W37" s="226">
        <v>218439633768.86008</v>
      </c>
      <c r="Y37" s="226">
        <v>224479222785.28</v>
      </c>
      <c r="Z37" s="222"/>
      <c r="AA37" s="226">
        <v>242476172926.57013</v>
      </c>
      <c r="AC37" s="226">
        <v>228554283443.72983</v>
      </c>
      <c r="AE37" s="226">
        <v>223235300757.76987</v>
      </c>
      <c r="AG37" s="226">
        <v>217594077003.88013</v>
      </c>
    </row>
    <row r="38" spans="1:41" hidden="1" outlineLevel="1" x14ac:dyDescent="0.2">
      <c r="A38" s="2"/>
      <c r="B38" s="2"/>
      <c r="C38" s="39"/>
      <c r="D38" s="46"/>
      <c r="E38" s="228">
        <f>ROUND(E37-SUM(E31:E33,E35:E36),1)</f>
        <v>0</v>
      </c>
      <c r="F38" s="228">
        <f>ROUND(F37-SUM(F31:F33,F35:F36),1)</f>
        <v>0</v>
      </c>
      <c r="G38" s="228"/>
      <c r="H38" s="228">
        <f>ROUND(H37-SUM(H31:H33,H35:H36),1)</f>
        <v>0</v>
      </c>
      <c r="I38" s="228"/>
      <c r="J38" s="228"/>
      <c r="K38" s="228">
        <f>ROUND(K37-SUM(K31:K33,K35:K36),1)</f>
        <v>0</v>
      </c>
      <c r="M38" s="228">
        <f>ROUND(M37-SUM(M31:M33,M35:M36),1)</f>
        <v>0</v>
      </c>
      <c r="N38" s="228">
        <f>ROUND(Q37-SUM(Q31:Q33,Q35:Q36),1)</f>
        <v>0</v>
      </c>
      <c r="O38" s="228"/>
      <c r="P38" s="228">
        <f>ROUND(S37-SUM(S31:S33,S35:S36),1)</f>
        <v>0</v>
      </c>
      <c r="Q38" s="228">
        <f>ROUND(U37-SUM(U31:U33,U35:U36),1)</f>
        <v>0</v>
      </c>
      <c r="R38" s="228">
        <f>ROUND(W37-SUM(W31:W33,W35:W36),1)</f>
        <v>0</v>
      </c>
      <c r="S38" s="228">
        <f>ROUND(Y37-SUM(Y31:Y33,Y35:Y36),1)</f>
        <v>0</v>
      </c>
      <c r="U38" s="228"/>
      <c r="V38" s="228">
        <f>ROUND(AC37-SUM(AC31:AC33,AC35:AC36),1)</f>
        <v>0</v>
      </c>
      <c r="W38" s="228">
        <f>ROUND(AE37-SUM(AE31:AE33,AE35:AE36),1)</f>
        <v>0</v>
      </c>
      <c r="X38" s="228">
        <f>ROUND(AG37-SUM(AG31:AG33,AG35:AG36),1)</f>
        <v>0</v>
      </c>
      <c r="Y38" s="196"/>
      <c r="Z38" s="242"/>
      <c r="AA38" s="242"/>
      <c r="AB38" s="242"/>
      <c r="AC38" s="242"/>
      <c r="AD38" s="232"/>
      <c r="AE38" s="196"/>
      <c r="AF38" s="232"/>
      <c r="AG38" s="196"/>
      <c r="AH38" s="232"/>
      <c r="AI38" s="196"/>
      <c r="AJ38" s="232"/>
      <c r="AK38" s="196"/>
      <c r="AL38" s="232"/>
      <c r="AM38" s="196"/>
      <c r="AN38" s="232"/>
    </row>
    <row r="39" spans="1:41" ht="12" collapsed="1" x14ac:dyDescent="0.2">
      <c r="B39" s="2"/>
      <c r="C39" t="s">
        <v>265</v>
      </c>
      <c r="D39" s="46"/>
      <c r="E39" s="228"/>
      <c r="F39" s="228"/>
      <c r="G39" s="196"/>
      <c r="H39" s="228"/>
      <c r="I39" s="196"/>
      <c r="J39" s="196"/>
      <c r="K39" s="228"/>
      <c r="M39" s="196"/>
      <c r="N39" s="196"/>
      <c r="O39" s="228"/>
      <c r="P39" s="196"/>
      <c r="Q39" s="196"/>
      <c r="R39" s="228"/>
      <c r="S39" s="229"/>
      <c r="U39" s="228"/>
      <c r="V39" s="228"/>
      <c r="W39" s="196"/>
      <c r="X39" s="228"/>
      <c r="Y39" s="196"/>
      <c r="Z39" s="230"/>
      <c r="AA39" s="230"/>
      <c r="AB39" s="230"/>
      <c r="AC39" s="230"/>
      <c r="AD39" s="230"/>
      <c r="AE39" s="196"/>
      <c r="AF39" s="230"/>
      <c r="AG39" s="196"/>
      <c r="AH39" s="230"/>
      <c r="AI39" s="196"/>
      <c r="AJ39" s="230"/>
      <c r="AK39" s="196"/>
      <c r="AL39" s="230"/>
      <c r="AM39" s="196"/>
      <c r="AN39" s="230"/>
    </row>
    <row r="40" spans="1:41" x14ac:dyDescent="0.2">
      <c r="A40" s="2"/>
      <c r="B40" s="2"/>
      <c r="C40" s="39"/>
      <c r="D40" s="46"/>
      <c r="E40" s="233"/>
      <c r="F40" s="196"/>
      <c r="G40" s="196"/>
      <c r="H40" s="196"/>
      <c r="I40" s="196"/>
      <c r="J40" s="196"/>
      <c r="K40" s="196"/>
      <c r="L40" s="196"/>
      <c r="M40" s="196"/>
      <c r="N40" s="196"/>
      <c r="O40" s="196"/>
      <c r="P40" s="196"/>
      <c r="Q40" s="196"/>
      <c r="R40" s="196"/>
      <c r="S40" s="196"/>
      <c r="T40" s="196"/>
      <c r="U40" s="196"/>
      <c r="V40" s="196"/>
      <c r="W40" s="196"/>
      <c r="X40" s="196"/>
      <c r="Y40" s="196"/>
      <c r="Z40" s="196"/>
      <c r="AA40" s="196"/>
      <c r="AB40" s="196"/>
      <c r="AC40" s="196"/>
      <c r="AD40" s="196"/>
      <c r="AE40" s="196"/>
      <c r="AF40" s="196"/>
      <c r="AG40" s="196"/>
      <c r="AH40" s="196"/>
      <c r="AI40" s="196"/>
      <c r="AJ40" s="196"/>
      <c r="AK40" s="196"/>
      <c r="AL40" s="196"/>
      <c r="AM40" s="196"/>
      <c r="AN40" s="196"/>
    </row>
    <row r="41" spans="1:41" ht="17.399999999999999" x14ac:dyDescent="0.3">
      <c r="A41" s="2"/>
      <c r="B41" s="2"/>
      <c r="C41" s="100" t="s">
        <v>171</v>
      </c>
      <c r="D41" s="46"/>
      <c r="E41" s="233"/>
      <c r="F41" s="196"/>
      <c r="G41" s="196"/>
      <c r="H41" s="196"/>
      <c r="I41" s="196"/>
      <c r="J41" s="196"/>
      <c r="K41" s="77" t="s">
        <v>185</v>
      </c>
      <c r="L41" s="196"/>
      <c r="M41" s="196"/>
      <c r="N41" s="196"/>
      <c r="O41" s="196"/>
      <c r="P41" s="196"/>
      <c r="Q41" s="196"/>
      <c r="R41" s="196"/>
      <c r="S41" s="196"/>
      <c r="T41" s="196"/>
      <c r="U41" s="196"/>
      <c r="V41" s="196"/>
      <c r="W41" s="196"/>
      <c r="X41" s="196"/>
      <c r="Y41" s="196"/>
      <c r="Z41" s="196"/>
      <c r="AA41" s="196"/>
      <c r="AB41" s="196"/>
      <c r="AC41" s="196"/>
      <c r="AD41" s="196"/>
      <c r="AE41" s="196"/>
      <c r="AF41" s="196"/>
      <c r="AG41" s="196"/>
      <c r="AH41" s="196"/>
      <c r="AI41" s="196"/>
      <c r="AJ41" s="196"/>
      <c r="AK41" s="196"/>
      <c r="AL41" s="196"/>
      <c r="AM41" s="196"/>
      <c r="AN41" s="196"/>
    </row>
    <row r="42" spans="1:41" ht="24" x14ac:dyDescent="0.25">
      <c r="A42" s="97" t="s">
        <v>154</v>
      </c>
      <c r="B42" s="2"/>
      <c r="C42" s="94" t="s">
        <v>107</v>
      </c>
      <c r="D42" s="46"/>
      <c r="E42" s="218" t="str" cm="1">
        <f t="array" ref="E42">"Flows"&amp;" "&amp;"
"&amp;INDEX(TableYtd,MONTH(E$3),2)&amp;YEAR(E$3)</f>
        <v>Flows 
Q1 2026</v>
      </c>
      <c r="F42" s="218" t="str" cm="1">
        <f t="array" ref="F42">"Flows"&amp;" "&amp;"
"&amp;INDEX(TableYtd,MONTH(F$3),2)&amp;YEAR(F$3)</f>
        <v>Flows 
Q1 2025</v>
      </c>
      <c r="G42" s="196"/>
      <c r="H42" s="218" t="str">
        <f>"Flows"&amp;" "&amp;"
"&amp;"Q"&amp;MONTH(H$3)/3&amp;" "&amp;YEAR(H$3)</f>
        <v>Flows 
Q4 2025</v>
      </c>
      <c r="I42" s="339"/>
      <c r="J42" s="196"/>
      <c r="K42" s="218" t="str" cm="1">
        <f t="array" ref="K42">"Flows"&amp;" "&amp;"
"&amp;INDEX(TableYtd,MONTH(K$3),2)&amp;YEAR(K$3)</f>
        <v>Flows 
FY 2025</v>
      </c>
      <c r="L42" s="218" t="str">
        <f>"Flows"&amp;" "&amp;"
"&amp;"Q"&amp;MONTH(L$3)/3&amp;" "&amp;YEAR(L$3)</f>
        <v>Flows 
Q4 2025</v>
      </c>
      <c r="M42" s="218" t="str" cm="1">
        <f t="array" ref="M42">"Flows"&amp;" "&amp;"
"&amp;INDEX(TableYtd,MONTH(M$3),2)&amp;YEAR(M$3)</f>
        <v>Flows 
9M 2025</v>
      </c>
      <c r="N42" s="218" t="str">
        <f>"Flows"&amp;" "&amp;"
"&amp;"Q"&amp;MONTH(N$3)/3&amp;" "&amp;YEAR(N$3)</f>
        <v>Flows 
Q3 2025</v>
      </c>
      <c r="O42" s="218" t="str" cm="1">
        <f t="array" ref="O42">"Flows"&amp;" "&amp;"
"&amp;INDEX(TableYtd,MONTH(O$3),2)&amp;YEAR(O$3)</f>
        <v>Flows 
H1 2025</v>
      </c>
      <c r="P42" s="218" t="str">
        <f>"Flows"&amp;" "&amp;"
"&amp;"Q"&amp;MONTH(P$3)/3&amp;" "&amp;YEAR(P$3)</f>
        <v>Flows 
Q2 2025</v>
      </c>
      <c r="Q42" s="218" t="str">
        <f>"Flows"&amp;" "&amp;"
"&amp;"Q"&amp;MONTH(Q$3)/3&amp;" "&amp;YEAR(Q$3)</f>
        <v>Flows 
Q1 2025</v>
      </c>
      <c r="R42" s="339"/>
      <c r="S42" s="218" t="str" cm="1">
        <f t="array" ref="S42">"Flows"&amp;" "&amp;"
"&amp;INDEX(TableYtd,MONTH(S$3),2)&amp;YEAR(S$3)</f>
        <v>Flows 
FY 2024</v>
      </c>
      <c r="T42" s="218" t="str">
        <f t="shared" ref="T42:Y42" si="8">"Flows"&amp;" "&amp;"
"&amp;"Q"&amp;MONTH(T$3)/3&amp;" "&amp;YEAR(T$3)</f>
        <v>Flows 
Q4 2024</v>
      </c>
      <c r="U42" s="218" t="str" cm="1">
        <f t="array" ref="U42">"Flows"&amp;" "&amp;"
"&amp;INDEX(TableYtd,MONTH(U$3),2)&amp;YEAR(U$3)</f>
        <v>Flows 
9M 2024</v>
      </c>
      <c r="V42" s="218" t="str">
        <f t="shared" si="8"/>
        <v>Flows 
Q3 2024</v>
      </c>
      <c r="W42" s="218" t="str" cm="1">
        <f t="array" ref="W42">"Flows"&amp;" "&amp;"
"&amp;INDEX(TableYtd,MONTH(W$3),2)&amp;YEAR(W$3)</f>
        <v>Flows 
H1 2024</v>
      </c>
      <c r="X42" s="218" t="str">
        <f t="shared" si="8"/>
        <v>Flows 
Q2 2024</v>
      </c>
      <c r="Y42" s="218" t="str">
        <f t="shared" si="8"/>
        <v>Flows 
Q1 2024</v>
      </c>
      <c r="Z42" s="196"/>
      <c r="AA42" s="218" t="str" cm="1">
        <f t="array" ref="AA42">"Flows"&amp;" "&amp;"
"&amp;INDEX(TableYtd,MONTH(AA$3),2)&amp;YEAR(AA$3)</f>
        <v>Flows 
FY 2023</v>
      </c>
      <c r="AB42" s="218" t="str">
        <f>"Flows"&amp;" "&amp;"
"&amp;"Q"&amp;MONTH(AB$3)/3&amp;" "&amp;YEAR(AB$3)</f>
        <v>Flows 
Q4 2023</v>
      </c>
      <c r="AC42" s="218" t="str" cm="1">
        <f t="array" ref="AC42">"Flows"&amp;" "&amp;"
"&amp;INDEX(TableYtd,MONTH(AC$3),2)&amp;YEAR(AC$3)</f>
        <v>Flows 
9M 2023</v>
      </c>
      <c r="AD42" s="218" t="str">
        <f>"Flows"&amp;" "&amp;"
"&amp;"Q"&amp;MONTH(AD$3)/3&amp;" "&amp;YEAR(AD$3)</f>
        <v>Flows 
Q3 2023</v>
      </c>
      <c r="AE42" s="218" t="str" cm="1">
        <f t="array" ref="AE42">"Flows"&amp;" "&amp;"
"&amp;INDEX(TableYtd,MONTH(AE$3),2)&amp;YEAR(AE$3)</f>
        <v>Flows 
H1 2023</v>
      </c>
      <c r="AF42" s="218" t="str">
        <f>"Flows"&amp;" "&amp;"
"&amp;"Q"&amp;MONTH(AF$3)/3&amp;" "&amp;YEAR(AF$3)</f>
        <v>Flows 
Q2 2023</v>
      </c>
      <c r="AG42" s="218" t="str">
        <f>"Flows"&amp;" "&amp;"
"&amp;"Q"&amp;MONTH(AG$3)/3&amp;" "&amp;YEAR(AG$3)</f>
        <v>Flows 
Q1 2023</v>
      </c>
      <c r="AH42" s="196"/>
      <c r="AI42" s="339"/>
      <c r="AJ42" s="339"/>
      <c r="AK42" s="339"/>
      <c r="AL42" s="339"/>
      <c r="AM42" s="339"/>
      <c r="AN42" s="339"/>
      <c r="AO42" s="339"/>
    </row>
    <row r="43" spans="1:41" s="832" customFormat="1" ht="15" customHeight="1" x14ac:dyDescent="0.25">
      <c r="A43" s="826" t="s">
        <v>108</v>
      </c>
      <c r="B43" s="827"/>
      <c r="C43" s="828" t="s">
        <v>108</v>
      </c>
      <c r="D43" s="829"/>
      <c r="E43" s="830">
        <v>13178495323.807758</v>
      </c>
      <c r="F43" s="830">
        <v>4848694777.8439817</v>
      </c>
      <c r="G43" s="831"/>
      <c r="H43" s="830">
        <v>6277246806.550642</v>
      </c>
      <c r="I43" s="337"/>
      <c r="J43" s="831"/>
      <c r="K43" s="830">
        <v>24873529940.651939</v>
      </c>
      <c r="L43" s="830">
        <v>6277246806.550642</v>
      </c>
      <c r="M43" s="830">
        <v>18596283134.101303</v>
      </c>
      <c r="N43" s="830">
        <v>7438275069.9789362</v>
      </c>
      <c r="O43" s="830">
        <v>11158008064.122375</v>
      </c>
      <c r="P43" s="830">
        <v>6309313286.2783833</v>
      </c>
      <c r="Q43" s="830">
        <v>4848694777.8439817</v>
      </c>
      <c r="R43" s="337"/>
      <c r="S43" s="830">
        <v>26550394461.684044</v>
      </c>
      <c r="T43" s="830">
        <v>11486617890.304632</v>
      </c>
      <c r="U43" s="830">
        <v>15063776571.379375</v>
      </c>
      <c r="V43" s="830">
        <v>6332139137.1211977</v>
      </c>
      <c r="W43" s="830">
        <v>8731637434.2581902</v>
      </c>
      <c r="X43" s="830">
        <v>2205819616.9141002</v>
      </c>
      <c r="Y43" s="830">
        <v>6525817817.3441048</v>
      </c>
      <c r="Z43" s="831"/>
      <c r="AA43" s="830">
        <v>6752111026.8044987</v>
      </c>
      <c r="AB43" s="830">
        <v>1146374811.5345073</v>
      </c>
      <c r="AC43" s="830">
        <v>5605736215.2699833</v>
      </c>
      <c r="AD43" s="830">
        <v>1999857471.9628539</v>
      </c>
      <c r="AE43" s="830">
        <v>3605878743.3071499</v>
      </c>
      <c r="AF43" s="830">
        <v>2148876494.1992278</v>
      </c>
      <c r="AG43" s="830">
        <v>1457002249.107919</v>
      </c>
      <c r="AH43" s="831"/>
      <c r="AI43" s="337"/>
      <c r="AJ43" s="337"/>
      <c r="AK43" s="337"/>
      <c r="AL43" s="337"/>
      <c r="AM43" s="337"/>
      <c r="AN43" s="337"/>
      <c r="AO43" s="337"/>
    </row>
    <row r="44" spans="1:41" s="832" customFormat="1" ht="15" customHeight="1" x14ac:dyDescent="0.2">
      <c r="A44" s="833" t="s">
        <v>151</v>
      </c>
      <c r="B44" s="827"/>
      <c r="C44" s="828" t="s">
        <v>109</v>
      </c>
      <c r="D44" s="834"/>
      <c r="E44" s="830">
        <v>8696802424.8589058</v>
      </c>
      <c r="F44" s="830">
        <v>19802673306.935131</v>
      </c>
      <c r="G44" s="831"/>
      <c r="H44" s="830">
        <v>11339254754.691917</v>
      </c>
      <c r="I44" s="337"/>
      <c r="J44" s="831"/>
      <c r="K44" s="830">
        <v>28689767067.232674</v>
      </c>
      <c r="L44" s="830">
        <v>11339254754.691917</v>
      </c>
      <c r="M44" s="830">
        <v>17312093454.865341</v>
      </c>
      <c r="N44" s="830">
        <v>-478744070.58062935</v>
      </c>
      <c r="O44" s="830">
        <v>17790837525.445961</v>
      </c>
      <c r="P44" s="830">
        <v>-2011835781.489141</v>
      </c>
      <c r="Q44" s="830">
        <v>19802673306.935131</v>
      </c>
      <c r="R44" s="337"/>
      <c r="S44" s="830">
        <v>6602202090.843174</v>
      </c>
      <c r="T44" s="830">
        <v>8533066614.5638494</v>
      </c>
      <c r="U44" s="830">
        <v>-1930864523.7207108</v>
      </c>
      <c r="V44" s="830">
        <v>-7449723670.2537117</v>
      </c>
      <c r="W44" s="830">
        <v>5518859146.5330086</v>
      </c>
      <c r="X44" s="830">
        <v>903912532.52994192</v>
      </c>
      <c r="Y44" s="830">
        <v>4614946614.0031128</v>
      </c>
      <c r="Z44" s="831"/>
      <c r="AA44" s="830">
        <v>17402231405.908615</v>
      </c>
      <c r="AB44" s="830">
        <v>7769605924.5068073</v>
      </c>
      <c r="AC44" s="830">
        <v>9632625481.4017982</v>
      </c>
      <c r="AD44" s="830">
        <v>13188493961.163315</v>
      </c>
      <c r="AE44" s="830">
        <v>-3555868479.7615309</v>
      </c>
      <c r="AF44" s="830">
        <v>3901135182.4462538</v>
      </c>
      <c r="AG44" s="830">
        <v>-7457003662.2077808</v>
      </c>
      <c r="AH44" s="831"/>
      <c r="AI44" s="337"/>
      <c r="AJ44" s="337"/>
      <c r="AK44" s="337"/>
      <c r="AL44" s="337"/>
      <c r="AM44" s="337"/>
      <c r="AN44" s="337"/>
      <c r="AO44" s="337"/>
    </row>
    <row r="45" spans="1:41" s="832" customFormat="1" ht="15" customHeight="1" x14ac:dyDescent="0.2">
      <c r="A45" s="833" t="s">
        <v>152</v>
      </c>
      <c r="B45" s="827"/>
      <c r="C45" s="828" t="s">
        <v>179</v>
      </c>
      <c r="D45" s="834"/>
      <c r="E45" s="830">
        <v>7009301930.4499998</v>
      </c>
      <c r="F45" s="830">
        <v>3558126993.1699996</v>
      </c>
      <c r="G45" s="831"/>
      <c r="H45" s="830">
        <v>2395525844.25</v>
      </c>
      <c r="I45" s="337"/>
      <c r="J45" s="831"/>
      <c r="K45" s="830">
        <v>15900666984.43</v>
      </c>
      <c r="L45" s="830">
        <v>2395525844.25</v>
      </c>
      <c r="M45" s="830">
        <v>13505141140.18</v>
      </c>
      <c r="N45" s="830">
        <v>4075390578.1004052</v>
      </c>
      <c r="O45" s="830">
        <v>9429750562.0795975</v>
      </c>
      <c r="P45" s="830">
        <v>5871623568.9095936</v>
      </c>
      <c r="Q45" s="830">
        <v>3558126993.1699996</v>
      </c>
      <c r="R45" s="337"/>
      <c r="S45" s="830">
        <v>-976589946.73050272</v>
      </c>
      <c r="T45" s="830">
        <v>-1479657524.1005008</v>
      </c>
      <c r="U45" s="830">
        <v>503067577.36999995</v>
      </c>
      <c r="V45" s="830">
        <v>-1238790553.6399999</v>
      </c>
      <c r="W45" s="830">
        <v>1741858131.009999</v>
      </c>
      <c r="X45" s="830">
        <v>769347866.82000029</v>
      </c>
      <c r="Y45" s="830">
        <v>972510264.19000006</v>
      </c>
      <c r="Z45" s="831"/>
      <c r="AA45" s="830">
        <v>-5357033518.7700024</v>
      </c>
      <c r="AB45" s="830">
        <v>4265234513.7499995</v>
      </c>
      <c r="AC45" s="830">
        <v>-9622268032.5199986</v>
      </c>
      <c r="AD45" s="830">
        <v>-3872324347.6100001</v>
      </c>
      <c r="AE45" s="830">
        <v>-5749943684.9100008</v>
      </c>
      <c r="AF45" s="830">
        <v>-1459631319.6799998</v>
      </c>
      <c r="AG45" s="830">
        <v>-4290312365.2300014</v>
      </c>
      <c r="AH45" s="831"/>
      <c r="AI45" s="337"/>
      <c r="AJ45" s="337"/>
      <c r="AK45" s="337"/>
      <c r="AL45" s="337"/>
      <c r="AM45" s="337"/>
      <c r="AN45" s="337"/>
      <c r="AO45" s="337"/>
    </row>
    <row r="46" spans="1:41" s="832" customFormat="1" ht="15" customHeight="1" x14ac:dyDescent="0.2">
      <c r="A46" s="833" t="s">
        <v>439</v>
      </c>
      <c r="B46" s="827"/>
      <c r="C46" s="828" t="s">
        <v>439</v>
      </c>
      <c r="D46" s="834"/>
      <c r="E46" s="830">
        <v>3140186655.4205523</v>
      </c>
      <c r="F46" s="830">
        <v>2925468621.539999</v>
      </c>
      <c r="G46" s="831"/>
      <c r="H46" s="830">
        <v>913770266.23597395</v>
      </c>
      <c r="I46" s="337"/>
      <c r="J46" s="831"/>
      <c r="K46" s="830">
        <v>18149335326.087837</v>
      </c>
      <c r="L46" s="830">
        <v>913770266.23597395</v>
      </c>
      <c r="M46" s="830">
        <v>17235565059.851868</v>
      </c>
      <c r="N46" s="830">
        <v>4052722188.149785</v>
      </c>
      <c r="O46" s="830">
        <v>13182842871.702082</v>
      </c>
      <c r="P46" s="830">
        <v>10257374250.162083</v>
      </c>
      <c r="Q46" s="830">
        <v>2925468621.539999</v>
      </c>
      <c r="R46" s="337"/>
      <c r="S46" s="830">
        <v>23267873486.099995</v>
      </c>
      <c r="T46" s="830">
        <v>1925343121.8699985</v>
      </c>
      <c r="U46" s="830">
        <v>21342530364.229996</v>
      </c>
      <c r="V46" s="830">
        <v>5264253576.5999994</v>
      </c>
      <c r="W46" s="830">
        <v>16078276787.630003</v>
      </c>
      <c r="X46" s="830">
        <v>11586923683.800003</v>
      </c>
      <c r="Y46" s="830">
        <v>4491353103.829999</v>
      </c>
      <c r="Z46" s="831"/>
      <c r="AA46" s="830">
        <v>7023308295.9900017</v>
      </c>
      <c r="AB46" s="830">
        <v>6313022712.7099981</v>
      </c>
      <c r="AC46" s="830">
        <v>710285583.28000164</v>
      </c>
      <c r="AD46" s="830">
        <v>2411811206.27</v>
      </c>
      <c r="AE46" s="830">
        <v>-1701525622.990001</v>
      </c>
      <c r="AF46" s="830">
        <v>-934167499.21999931</v>
      </c>
      <c r="AG46" s="830">
        <v>-767358123.76999831</v>
      </c>
      <c r="AH46" s="831"/>
      <c r="AI46" s="337"/>
      <c r="AJ46" s="337"/>
      <c r="AK46" s="337"/>
      <c r="AL46" s="337"/>
      <c r="AM46" s="337"/>
      <c r="AN46" s="337"/>
      <c r="AO46" s="337"/>
    </row>
    <row r="47" spans="1:41" s="832" customFormat="1" ht="13.2" customHeight="1" x14ac:dyDescent="0.2">
      <c r="A47" s="835" t="s">
        <v>118</v>
      </c>
      <c r="B47" s="827"/>
      <c r="C47" s="836" t="s">
        <v>106</v>
      </c>
      <c r="D47" s="834"/>
      <c r="E47" s="837">
        <v>3479280009.6400003</v>
      </c>
      <c r="F47" s="837">
        <v>2925468621.5400009</v>
      </c>
      <c r="G47" s="831"/>
      <c r="H47" s="837">
        <v>1678205922.28</v>
      </c>
      <c r="I47" s="223"/>
      <c r="J47" s="831"/>
      <c r="K47" s="837">
        <v>19531347358.880001</v>
      </c>
      <c r="L47" s="837">
        <v>1678205922.28</v>
      </c>
      <c r="M47" s="837">
        <v>17853141436.599998</v>
      </c>
      <c r="N47" s="837">
        <v>4645168214.9099998</v>
      </c>
      <c r="O47" s="837">
        <v>13207973221.690002</v>
      </c>
      <c r="P47" s="837">
        <v>10282504600.150003</v>
      </c>
      <c r="Q47" s="837">
        <v>2925468621.5400009</v>
      </c>
      <c r="R47" s="223"/>
      <c r="S47" s="837">
        <v>23267873486.099995</v>
      </c>
      <c r="T47" s="837">
        <v>1925343121.8699985</v>
      </c>
      <c r="U47" s="837">
        <v>21342530364.229996</v>
      </c>
      <c r="V47" s="837">
        <v>5264253576.5999994</v>
      </c>
      <c r="W47" s="837">
        <v>16078276787.630003</v>
      </c>
      <c r="X47" s="837">
        <v>11586923683.800003</v>
      </c>
      <c r="Y47" s="837">
        <v>4491353103.829999</v>
      </c>
      <c r="Z47" s="831"/>
      <c r="AA47" s="837">
        <v>7023308295.9900017</v>
      </c>
      <c r="AB47" s="837">
        <v>6313022712.7099981</v>
      </c>
      <c r="AC47" s="837">
        <v>710285583.28000164</v>
      </c>
      <c r="AD47" s="837">
        <v>2411811206.27</v>
      </c>
      <c r="AE47" s="837">
        <v>-1701525622.990001</v>
      </c>
      <c r="AF47" s="837">
        <v>-934167499.21999931</v>
      </c>
      <c r="AG47" s="837">
        <v>-767358123.76999831</v>
      </c>
      <c r="AH47" s="831"/>
      <c r="AI47" s="223"/>
      <c r="AJ47" s="223"/>
      <c r="AK47" s="223"/>
      <c r="AL47" s="223"/>
      <c r="AM47" s="223"/>
      <c r="AN47" s="223"/>
      <c r="AO47" s="223"/>
    </row>
    <row r="48" spans="1:41" s="832" customFormat="1" ht="15" customHeight="1" x14ac:dyDescent="0.2">
      <c r="A48" s="835" t="s">
        <v>204</v>
      </c>
      <c r="B48" s="827"/>
      <c r="C48" s="836" t="s">
        <v>208</v>
      </c>
      <c r="D48" s="834"/>
      <c r="E48" s="837">
        <v>-339093354.21944737</v>
      </c>
      <c r="F48" s="837">
        <v>0</v>
      </c>
      <c r="G48" s="831"/>
      <c r="H48" s="837">
        <v>-764435656.0440253</v>
      </c>
      <c r="I48" s="223"/>
      <c r="J48" s="223" t="s">
        <v>530</v>
      </c>
      <c r="K48" s="837">
        <v>-1382012032.7921607</v>
      </c>
      <c r="L48" s="837">
        <v>-764435656.0440253</v>
      </c>
      <c r="M48" s="837">
        <v>-617576376.74813557</v>
      </c>
      <c r="N48" s="837">
        <v>-592446026.76021588</v>
      </c>
      <c r="O48" s="837">
        <v>-25130349.987919461</v>
      </c>
      <c r="P48" s="837">
        <v>-25130349.987919461</v>
      </c>
      <c r="Q48" s="837">
        <v>0</v>
      </c>
      <c r="R48" s="223"/>
      <c r="S48" s="837">
        <v>0</v>
      </c>
      <c r="T48" s="837">
        <v>0</v>
      </c>
      <c r="U48" s="837">
        <v>0</v>
      </c>
      <c r="V48" s="837">
        <v>0</v>
      </c>
      <c r="W48" s="837">
        <v>0</v>
      </c>
      <c r="X48" s="837">
        <v>0</v>
      </c>
      <c r="Y48" s="837">
        <v>0</v>
      </c>
      <c r="Z48" s="223" t="s">
        <v>530</v>
      </c>
      <c r="AA48" s="837">
        <v>0</v>
      </c>
      <c r="AB48" s="837">
        <v>0</v>
      </c>
      <c r="AC48" s="837">
        <v>0</v>
      </c>
      <c r="AD48" s="837">
        <v>0</v>
      </c>
      <c r="AE48" s="837">
        <v>0</v>
      </c>
      <c r="AF48" s="837">
        <v>0</v>
      </c>
      <c r="AG48" s="837">
        <v>0</v>
      </c>
      <c r="AH48" s="223" t="s">
        <v>530</v>
      </c>
      <c r="AI48" s="223"/>
      <c r="AJ48" s="223"/>
      <c r="AK48" s="223"/>
      <c r="AL48" s="223"/>
      <c r="AM48" s="223"/>
      <c r="AN48" s="223"/>
      <c r="AO48" s="223"/>
    </row>
    <row r="49" spans="1:41" ht="18" customHeight="1" x14ac:dyDescent="0.2">
      <c r="A49" s="40" t="s">
        <v>153</v>
      </c>
      <c r="B49" s="31"/>
      <c r="C49" s="71" t="s">
        <v>110</v>
      </c>
      <c r="D49" s="56"/>
      <c r="E49" s="234">
        <v>32024786334.537216</v>
      </c>
      <c r="F49" s="234">
        <v>31134963699.489113</v>
      </c>
      <c r="G49" s="196"/>
      <c r="H49" s="234">
        <v>20925797671.728531</v>
      </c>
      <c r="I49" s="338"/>
      <c r="J49" s="196"/>
      <c r="K49" s="234">
        <v>87613299318.402451</v>
      </c>
      <c r="L49" s="234">
        <v>20925797671.728531</v>
      </c>
      <c r="M49" s="234">
        <v>66649082788.998497</v>
      </c>
      <c r="N49" s="234">
        <v>15087643765.648495</v>
      </c>
      <c r="O49" s="234">
        <v>51561439023.350014</v>
      </c>
      <c r="P49" s="234">
        <v>20426475323.86092</v>
      </c>
      <c r="Q49" s="234">
        <v>31134963699.489113</v>
      </c>
      <c r="R49" s="338"/>
      <c r="S49" s="234">
        <v>55443880091.896713</v>
      </c>
      <c r="T49" s="234">
        <v>20465370102.637978</v>
      </c>
      <c r="U49" s="234">
        <v>34978509989.258659</v>
      </c>
      <c r="V49" s="234">
        <v>2907878489.827486</v>
      </c>
      <c r="W49" s="234">
        <v>32070631499.431198</v>
      </c>
      <c r="X49" s="234">
        <v>15466003700.064045</v>
      </c>
      <c r="Y49" s="234">
        <v>16604627799.367218</v>
      </c>
      <c r="Z49" s="196"/>
      <c r="AA49" s="234">
        <v>25820617209.933117</v>
      </c>
      <c r="AB49" s="234">
        <v>19494237962.501312</v>
      </c>
      <c r="AC49" s="234">
        <v>6326379247.4317789</v>
      </c>
      <c r="AD49" s="234">
        <v>13727838291.786167</v>
      </c>
      <c r="AE49" s="234">
        <v>-7401459044.3543825</v>
      </c>
      <c r="AF49" s="234">
        <v>3656212857.7454834</v>
      </c>
      <c r="AG49" s="234">
        <v>-11057671902.099863</v>
      </c>
      <c r="AH49" s="196"/>
      <c r="AI49" s="338"/>
      <c r="AJ49" s="338"/>
      <c r="AK49" s="338"/>
      <c r="AL49" s="338"/>
      <c r="AM49" s="338"/>
      <c r="AN49" s="338"/>
      <c r="AO49" s="338"/>
    </row>
    <row r="50" spans="1:41" hidden="1" outlineLevel="1" x14ac:dyDescent="0.2">
      <c r="A50" s="2"/>
      <c r="B50" s="2"/>
      <c r="C50" s="39"/>
      <c r="D50" s="46"/>
      <c r="E50" s="228">
        <f>ROUND(E49-SUM(E43:E45,E47:E48),1)</f>
        <v>0</v>
      </c>
      <c r="F50" s="228">
        <f>ROUND(F49-SUM(F43:F45,F47:F48),1)</f>
        <v>0</v>
      </c>
      <c r="G50" s="228"/>
      <c r="H50" s="228">
        <f>ROUND(H49-SUM(H43:H45,H47:H48),1)</f>
        <v>0</v>
      </c>
      <c r="I50" s="228"/>
      <c r="J50" s="228"/>
      <c r="K50" s="228">
        <f t="shared" ref="K50:Q50" si="9">ROUND(K49-SUM(K43:K45,K47:K48),1)</f>
        <v>0</v>
      </c>
      <c r="L50" s="228">
        <f t="shared" si="9"/>
        <v>0</v>
      </c>
      <c r="M50" s="228">
        <f t="shared" si="9"/>
        <v>0</v>
      </c>
      <c r="N50" s="228">
        <f t="shared" si="9"/>
        <v>0</v>
      </c>
      <c r="O50" s="228">
        <f t="shared" si="9"/>
        <v>0</v>
      </c>
      <c r="P50" s="228">
        <f t="shared" si="9"/>
        <v>0</v>
      </c>
      <c r="Q50" s="228">
        <f t="shared" si="9"/>
        <v>0</v>
      </c>
      <c r="R50" s="228"/>
      <c r="S50" s="228">
        <f t="shared" ref="S50:Y50" si="10">ROUND(S49-SUM(S43:S45,S47:S48),1)</f>
        <v>0</v>
      </c>
      <c r="T50" s="228">
        <f t="shared" si="10"/>
        <v>0</v>
      </c>
      <c r="U50" s="228">
        <f t="shared" si="10"/>
        <v>0</v>
      </c>
      <c r="V50" s="228">
        <f t="shared" si="10"/>
        <v>0</v>
      </c>
      <c r="W50" s="228">
        <f t="shared" si="10"/>
        <v>0</v>
      </c>
      <c r="X50" s="228">
        <f t="shared" si="10"/>
        <v>0</v>
      </c>
      <c r="Y50" s="228">
        <f t="shared" si="10"/>
        <v>0</v>
      </c>
      <c r="Z50" s="228"/>
      <c r="AA50" s="228">
        <f t="shared" ref="AA50:AG50" si="11">ROUND(AA49-SUM(AA43:AA45,AA47:AA48),1)</f>
        <v>0</v>
      </c>
      <c r="AB50" s="228">
        <f t="shared" si="11"/>
        <v>0</v>
      </c>
      <c r="AC50" s="228">
        <f t="shared" si="11"/>
        <v>0</v>
      </c>
      <c r="AD50" s="228">
        <f t="shared" si="11"/>
        <v>0</v>
      </c>
      <c r="AE50" s="228">
        <f t="shared" si="11"/>
        <v>0</v>
      </c>
      <c r="AF50" s="228">
        <f t="shared" si="11"/>
        <v>0</v>
      </c>
      <c r="AG50" s="228">
        <f t="shared" si="11"/>
        <v>0</v>
      </c>
      <c r="AH50" s="228"/>
      <c r="AI50" s="228"/>
      <c r="AJ50" s="228"/>
      <c r="AK50" s="228"/>
      <c r="AL50" s="228"/>
      <c r="AM50" s="228"/>
      <c r="AN50" s="228"/>
    </row>
    <row r="51" spans="1:41" collapsed="1" x14ac:dyDescent="0.2">
      <c r="A51" s="2"/>
      <c r="B51" s="2"/>
      <c r="C51" s="39"/>
      <c r="D51" s="46"/>
      <c r="E51" s="228"/>
      <c r="F51" s="228"/>
      <c r="G51" s="196"/>
      <c r="H51" s="228"/>
      <c r="I51" s="228"/>
      <c r="J51" s="196"/>
      <c r="K51" s="228"/>
      <c r="L51" s="228"/>
      <c r="M51" s="228"/>
      <c r="N51" s="228"/>
      <c r="O51" s="228"/>
      <c r="P51" s="228"/>
      <c r="Q51" s="196"/>
      <c r="R51" s="228"/>
      <c r="S51" s="228"/>
      <c r="T51" s="228"/>
      <c r="U51" s="228"/>
      <c r="V51" s="228"/>
      <c r="W51" s="228"/>
      <c r="X51" s="228"/>
      <c r="Y51" s="196"/>
      <c r="Z51" s="228"/>
      <c r="AA51" s="228"/>
      <c r="AB51" s="228"/>
      <c r="AC51" s="228"/>
      <c r="AD51" s="228"/>
      <c r="AE51" s="228"/>
      <c r="AF51" s="228"/>
      <c r="AG51" s="196"/>
      <c r="AH51" s="228"/>
      <c r="AI51" s="228"/>
      <c r="AJ51" s="228"/>
      <c r="AK51" s="228"/>
      <c r="AL51" s="228"/>
      <c r="AM51" s="228"/>
      <c r="AN51" s="228"/>
    </row>
    <row r="52" spans="1:41" ht="17.399999999999999" x14ac:dyDescent="0.3">
      <c r="C52" s="102" t="s">
        <v>172</v>
      </c>
      <c r="D52" s="89"/>
      <c r="E52" s="231"/>
      <c r="F52" s="196"/>
      <c r="G52" s="196"/>
      <c r="H52" s="196"/>
      <c r="I52" s="196"/>
      <c r="J52" s="196"/>
      <c r="K52" s="196"/>
      <c r="L52" s="196"/>
      <c r="M52" s="196"/>
      <c r="N52" s="196"/>
      <c r="O52" s="196"/>
      <c r="P52" s="196"/>
      <c r="Q52" s="196"/>
      <c r="R52" s="196"/>
      <c r="S52" s="196"/>
      <c r="T52" s="196"/>
      <c r="U52" s="196"/>
      <c r="V52" s="196"/>
      <c r="W52" s="196"/>
      <c r="X52" s="196"/>
      <c r="Y52" s="196"/>
      <c r="Z52" s="235"/>
      <c r="AA52" s="235"/>
      <c r="AB52" s="235"/>
      <c r="AC52" s="235"/>
      <c r="AD52" s="228"/>
      <c r="AE52" s="235"/>
      <c r="AF52" s="235"/>
      <c r="AG52" s="196"/>
      <c r="AH52" s="235"/>
      <c r="AI52" s="235"/>
      <c r="AJ52" s="235"/>
      <c r="AK52" s="235"/>
      <c r="AL52" s="235"/>
      <c r="AM52" s="235"/>
      <c r="AN52" s="235"/>
    </row>
    <row r="53" spans="1:41" ht="24" x14ac:dyDescent="0.25">
      <c r="A53" s="97" t="s">
        <v>154</v>
      </c>
      <c r="B53" s="2"/>
      <c r="C53" s="94" t="s">
        <v>107</v>
      </c>
      <c r="D53" s="46"/>
      <c r="E53" s="218" t="str" cm="1">
        <f t="array" ref="E53">"Flows"&amp;" "&amp;"
"&amp;INDEX(TableYtd,MONTH(E$3),2)&amp;YEAR(E$3)</f>
        <v>Flows 
Q1 2026</v>
      </c>
      <c r="F53" s="218" t="str" cm="1">
        <f t="array" ref="F53">"Flows"&amp;" "&amp;"
"&amp;INDEX(TableYtd,MONTH(F$3),2)&amp;YEAR(F$3)</f>
        <v>Flows 
Q1 2025</v>
      </c>
      <c r="G53" s="196"/>
      <c r="H53" s="218" t="str">
        <f>"Flows"&amp;" "&amp;"
"&amp;"Q"&amp;MONTH(H$3)/3&amp;" "&amp;YEAR(H$3)</f>
        <v>Flows 
Q4 2025</v>
      </c>
      <c r="I53" s="339"/>
      <c r="J53" s="196"/>
      <c r="K53" s="218" t="str" cm="1">
        <f t="array" ref="K53">"Flows"&amp;" "&amp;"
"&amp;INDEX(TableYtd,MONTH(K$3),2)&amp;YEAR(K$3)</f>
        <v>Flows 
FY 2025</v>
      </c>
      <c r="L53" s="218" t="str">
        <f>"Flows"&amp;" "&amp;"
"&amp;"Q"&amp;MONTH(L$3)/3&amp;" "&amp;YEAR(L$3)</f>
        <v>Flows 
Q4 2025</v>
      </c>
      <c r="M53" s="218" t="str" cm="1">
        <f t="array" ref="M53">"Flows"&amp;" "&amp;"
"&amp;INDEX(TableYtd,MONTH(M$3),2)&amp;YEAR(M$3)</f>
        <v>Flows 
9M 2025</v>
      </c>
      <c r="N53" s="218" t="str">
        <f>"Flows"&amp;" "&amp;"
"&amp;"Q"&amp;MONTH(N$3)/3&amp;" "&amp;YEAR(N$3)</f>
        <v>Flows 
Q3 2025</v>
      </c>
      <c r="O53" s="218" t="str" cm="1">
        <f t="array" ref="O53">"Flows"&amp;" "&amp;"
"&amp;INDEX(TableYtd,MONTH(O$3),2)&amp;YEAR(O$3)</f>
        <v>Flows 
H1 2025</v>
      </c>
      <c r="P53" s="218" t="str">
        <f>"Flows"&amp;" "&amp;"
"&amp;"Q"&amp;MONTH(P$3)/3&amp;" "&amp;YEAR(P$3)</f>
        <v>Flows 
Q2 2025</v>
      </c>
      <c r="Q53" s="218" t="str">
        <f>"Flows"&amp;" "&amp;"
"&amp;"Q"&amp;MONTH(Q$3)/3&amp;" "&amp;YEAR(Q$3)</f>
        <v>Flows 
Q1 2025</v>
      </c>
      <c r="R53" s="339"/>
      <c r="S53" s="218" t="str" cm="1">
        <f t="array" ref="S53">"Flows"&amp;" "&amp;"
"&amp;INDEX(TableYtd,MONTH(S$3),2)&amp;YEAR(S$3)</f>
        <v>Flows 
FY 2024</v>
      </c>
      <c r="T53" s="218" t="str">
        <f>"Flows"&amp;" "&amp;"
"&amp;"Q"&amp;MONTH(T$3)/3&amp;" "&amp;YEAR(T$3)</f>
        <v>Flows 
Q4 2024</v>
      </c>
      <c r="U53" s="218" t="str" cm="1">
        <f t="array" ref="U53">"Flows"&amp;" "&amp;"
"&amp;INDEX(TableYtd,MONTH(U$3),2)&amp;YEAR(U$3)</f>
        <v>Flows 
9M 2024</v>
      </c>
      <c r="V53" s="218" t="str">
        <f>"Flows"&amp;" "&amp;"
"&amp;"Q"&amp;MONTH(V$3)/3&amp;" "&amp;YEAR(V$3)</f>
        <v>Flows 
Q3 2024</v>
      </c>
      <c r="W53" s="218" t="str" cm="1">
        <f t="array" ref="W53">"Flows"&amp;" "&amp;"
"&amp;INDEX(TableYtd,MONTH(W$3),2)&amp;YEAR(W$3)</f>
        <v>Flows 
H1 2024</v>
      </c>
      <c r="X53" s="218" t="str">
        <f>"Flows"&amp;" "&amp;"
"&amp;"Q"&amp;MONTH(X$3)/3&amp;" "&amp;YEAR(X$3)</f>
        <v>Flows 
Q2 2024</v>
      </c>
      <c r="Y53" s="218" t="str" cm="1">
        <f t="array" ref="Y53">"Flows"&amp;" "&amp;"
"&amp;INDEX(TableYtd,MONTH(Y$3),2)&amp;YEAR(Y$3)</f>
        <v>Flows 
Q1 2024</v>
      </c>
      <c r="Z53" s="339"/>
      <c r="AA53" s="218" t="str" cm="1">
        <f t="array" ref="AA53">"Flows"&amp;" "&amp;"
"&amp;INDEX(TableYtd,MONTH(AA$3),2)&amp;YEAR(AA$3)</f>
        <v>Flows 
FY 2023</v>
      </c>
      <c r="AB53" s="218" t="str">
        <f>"Flows"&amp;" "&amp;"
"&amp;"Q"&amp;MONTH(AB$3)/3&amp;" "&amp;YEAR(AB$3)</f>
        <v>Flows 
Q4 2023</v>
      </c>
      <c r="AC53" s="218" t="str" cm="1">
        <f t="array" ref="AC53">"Flows"&amp;" "&amp;"
"&amp;INDEX(TableYtd,MONTH(AC$3),2)&amp;YEAR(AC$3)</f>
        <v>Flows 
9M 2023</v>
      </c>
      <c r="AD53" s="218" t="str">
        <f>"Flows"&amp;" "&amp;"
"&amp;"Q"&amp;MONTH(AD$3)/3&amp;" "&amp;YEAR(AD$3)</f>
        <v>Flows 
Q3 2023</v>
      </c>
      <c r="AE53" s="218" t="str" cm="1">
        <f t="array" ref="AE53">"Flows"&amp;" "&amp;"
"&amp;INDEX(TableYtd,MONTH(AE$3),2)&amp;YEAR(AE$3)</f>
        <v>Flows 
H1 2023</v>
      </c>
      <c r="AF53" s="218" t="str">
        <f>"Flows"&amp;" "&amp;"
"&amp;"Q"&amp;MONTH(AF$3)/3&amp;" "&amp;YEAR(AF$3)</f>
        <v>Flows 
Q2 2023</v>
      </c>
      <c r="AG53" s="218" t="str">
        <f>"Flows"&amp;" "&amp;"
"&amp;"Q"&amp;MONTH(AG$3)/3&amp;" "&amp;YEAR(AG$3)</f>
        <v>Flows 
Q1 2023</v>
      </c>
      <c r="AH53" s="339"/>
      <c r="AI53" s="339"/>
      <c r="AJ53" s="339"/>
      <c r="AK53" s="339"/>
      <c r="AL53" s="339"/>
      <c r="AM53" s="339"/>
      <c r="AN53" s="339"/>
      <c r="AO53" s="339"/>
    </row>
    <row r="54" spans="1:41" s="832" customFormat="1" ht="15" customHeight="1" x14ac:dyDescent="0.25">
      <c r="A54" s="826" t="s">
        <v>159</v>
      </c>
      <c r="B54" s="827"/>
      <c r="C54" s="828" t="s">
        <v>108</v>
      </c>
      <c r="D54" s="829"/>
      <c r="E54" s="830">
        <v>10454781242.044098</v>
      </c>
      <c r="F54" s="830">
        <v>2891109292.2185183</v>
      </c>
      <c r="G54" s="831"/>
      <c r="H54" s="830">
        <v>8522875040.8310547</v>
      </c>
      <c r="I54" s="337"/>
      <c r="J54" s="831"/>
      <c r="K54" s="830">
        <v>22371490880.730247</v>
      </c>
      <c r="L54" s="830">
        <v>8522875040.8310547</v>
      </c>
      <c r="M54" s="830">
        <v>13848615839.899185</v>
      </c>
      <c r="N54" s="830">
        <v>6470945042.3566704</v>
      </c>
      <c r="O54" s="830">
        <v>7377670797.5425329</v>
      </c>
      <c r="P54" s="830">
        <v>4486561505.3239937</v>
      </c>
      <c r="Q54" s="830">
        <v>2891109292.2185183</v>
      </c>
      <c r="R54" s="337"/>
      <c r="S54" s="830">
        <v>11841830428.884066</v>
      </c>
      <c r="T54" s="830">
        <v>7135784152.1946354</v>
      </c>
      <c r="U54" s="830">
        <v>4706046276.689394</v>
      </c>
      <c r="V54" s="830">
        <v>1283289124.2511907</v>
      </c>
      <c r="W54" s="830">
        <v>3422757152.4381943</v>
      </c>
      <c r="X54" s="830">
        <v>1678569145.4741058</v>
      </c>
      <c r="Y54" s="830">
        <v>1744188006.9641061</v>
      </c>
      <c r="Z54" s="337"/>
      <c r="AA54" s="830">
        <v>-2234264124.0154972</v>
      </c>
      <c r="AB54" s="830">
        <v>-3103506647.9354963</v>
      </c>
      <c r="AC54" s="830">
        <v>869242523.92001152</v>
      </c>
      <c r="AD54" s="830">
        <v>-700109023.39000225</v>
      </c>
      <c r="AE54" s="830">
        <v>1569351547.3099942</v>
      </c>
      <c r="AF54" s="830">
        <v>199832608.35000145</v>
      </c>
      <c r="AG54" s="830">
        <v>1369518938.96</v>
      </c>
      <c r="AH54" s="337"/>
      <c r="AI54" s="337"/>
      <c r="AJ54" s="337"/>
      <c r="AK54" s="337"/>
      <c r="AL54" s="337"/>
      <c r="AM54" s="337"/>
      <c r="AN54" s="337"/>
      <c r="AO54" s="337"/>
    </row>
    <row r="55" spans="1:41" s="832" customFormat="1" ht="15" customHeight="1" x14ac:dyDescent="0.2">
      <c r="A55" s="833" t="s">
        <v>160</v>
      </c>
      <c r="B55" s="827"/>
      <c r="C55" s="828" t="s">
        <v>109</v>
      </c>
      <c r="D55" s="834"/>
      <c r="E55" s="830">
        <v>12435920136.209566</v>
      </c>
      <c r="F55" s="830">
        <v>28817545067.631321</v>
      </c>
      <c r="G55" s="831"/>
      <c r="H55" s="830">
        <v>12534514490.548477</v>
      </c>
      <c r="I55" s="337"/>
      <c r="J55" s="831"/>
      <c r="K55" s="830">
        <v>41614328316.737923</v>
      </c>
      <c r="L55" s="830">
        <v>12534514490.548477</v>
      </c>
      <c r="M55" s="830">
        <v>29041394968.514103</v>
      </c>
      <c r="N55" s="830">
        <v>-1804682098.5356669</v>
      </c>
      <c r="O55" s="830">
        <v>30846077067.049751</v>
      </c>
      <c r="P55" s="830">
        <v>2028531999.4184351</v>
      </c>
      <c r="Q55" s="830">
        <v>28817545067.631321</v>
      </c>
      <c r="R55" s="337"/>
      <c r="S55" s="830">
        <v>13154600741.110865</v>
      </c>
      <c r="T55" s="830">
        <v>7012075735.4523754</v>
      </c>
      <c r="U55" s="830">
        <v>6142525005.6584816</v>
      </c>
      <c r="V55" s="830">
        <v>-6156814234.2406254</v>
      </c>
      <c r="W55" s="830">
        <v>12299339239.899109</v>
      </c>
      <c r="X55" s="830">
        <v>9975770364.0960236</v>
      </c>
      <c r="Y55" s="830">
        <v>2323568875.803113</v>
      </c>
      <c r="Z55" s="337"/>
      <c r="AA55" s="830">
        <v>11638270076.971569</v>
      </c>
      <c r="AB55" s="830">
        <v>3286999270.3644695</v>
      </c>
      <c r="AC55" s="830">
        <v>8351270806.6070786</v>
      </c>
      <c r="AD55" s="830">
        <v>11624098596.951462</v>
      </c>
      <c r="AE55" s="830">
        <v>-3272827790.3443708</v>
      </c>
      <c r="AF55" s="830">
        <v>4386701782.0854807</v>
      </c>
      <c r="AG55" s="830">
        <v>-7659529572.4298525</v>
      </c>
      <c r="AH55" s="337"/>
      <c r="AI55" s="337"/>
      <c r="AJ55" s="337"/>
      <c r="AK55" s="337"/>
      <c r="AL55" s="337"/>
      <c r="AM55" s="337"/>
      <c r="AN55" s="337"/>
      <c r="AO55" s="337"/>
    </row>
    <row r="56" spans="1:41" s="832" customFormat="1" ht="15" customHeight="1" x14ac:dyDescent="0.2">
      <c r="A56" s="826" t="s">
        <v>161</v>
      </c>
      <c r="B56" s="827"/>
      <c r="C56" s="828" t="s">
        <v>179</v>
      </c>
      <c r="D56" s="838"/>
      <c r="E56" s="830">
        <v>8053817941.6900005</v>
      </c>
      <c r="F56" s="830">
        <v>5178200166.7599993</v>
      </c>
      <c r="G56" s="831"/>
      <c r="H56" s="830">
        <v>3107201242.5099993</v>
      </c>
      <c r="I56" s="337"/>
      <c r="J56" s="831"/>
      <c r="K56" s="337">
        <v>17199033670.610001</v>
      </c>
      <c r="L56" s="337">
        <v>3107201242.5099993</v>
      </c>
      <c r="M56" s="337">
        <v>14091832428.100002</v>
      </c>
      <c r="N56" s="337">
        <v>4290704613.2004051</v>
      </c>
      <c r="O56" s="337">
        <v>9801127814.8995953</v>
      </c>
      <c r="P56" s="337">
        <v>4622927648.139596</v>
      </c>
      <c r="Q56" s="337">
        <v>5178200166.7599993</v>
      </c>
      <c r="R56" s="337"/>
      <c r="S56" s="337">
        <v>8957593997.0194988</v>
      </c>
      <c r="T56" s="337">
        <v>3740628862.2695003</v>
      </c>
      <c r="U56" s="337">
        <v>5216965134.7500019</v>
      </c>
      <c r="V56" s="337">
        <v>2412460979.2200003</v>
      </c>
      <c r="W56" s="337">
        <v>2804504155.5300002</v>
      </c>
      <c r="X56" s="337">
        <v>3442880948.6500006</v>
      </c>
      <c r="Y56" s="337">
        <v>-638376793.12000012</v>
      </c>
      <c r="Z56" s="337"/>
      <c r="AA56" s="337">
        <v>-9887926103.4400024</v>
      </c>
      <c r="AB56" s="337">
        <v>1751436212.4200003</v>
      </c>
      <c r="AC56" s="337">
        <v>-11639362315.859999</v>
      </c>
      <c r="AD56" s="337">
        <v>-3136608782.1100006</v>
      </c>
      <c r="AE56" s="337">
        <v>-8502753533.750001</v>
      </c>
      <c r="AF56" s="337">
        <v>-2428309655.2200003</v>
      </c>
      <c r="AG56" s="337">
        <v>-6074443878.5300016</v>
      </c>
      <c r="AH56" s="337"/>
      <c r="AI56" s="337"/>
      <c r="AJ56" s="337"/>
      <c r="AK56" s="337"/>
      <c r="AL56" s="337"/>
      <c r="AM56" s="337"/>
      <c r="AN56" s="337"/>
      <c r="AO56" s="337"/>
    </row>
    <row r="57" spans="1:41" s="832" customFormat="1" ht="15" customHeight="1" x14ac:dyDescent="0.2">
      <c r="A57" s="833" t="s">
        <v>441</v>
      </c>
      <c r="B57" s="827"/>
      <c r="C57" s="828" t="s">
        <v>439</v>
      </c>
      <c r="D57" s="834"/>
      <c r="E57" s="830">
        <v>3786006331.5034084</v>
      </c>
      <c r="F57" s="830">
        <v>2862165733.73</v>
      </c>
      <c r="G57" s="831"/>
      <c r="H57" s="830">
        <v>345040375.07880819</v>
      </c>
      <c r="I57" s="337"/>
      <c r="J57" s="831"/>
      <c r="K57" s="830">
        <v>12109953802.745989</v>
      </c>
      <c r="L57" s="830">
        <v>345040375.07880819</v>
      </c>
      <c r="M57" s="830">
        <v>11764913427.667181</v>
      </c>
      <c r="N57" s="830">
        <v>3529117338.004282</v>
      </c>
      <c r="O57" s="830">
        <v>8235796089.6629</v>
      </c>
      <c r="P57" s="830">
        <v>5373630355.9329004</v>
      </c>
      <c r="Q57" s="830">
        <v>2862165733.73</v>
      </c>
      <c r="R57" s="337"/>
      <c r="S57" s="830">
        <v>22018090803.619999</v>
      </c>
      <c r="T57" s="830">
        <v>3181825368.5099998</v>
      </c>
      <c r="U57" s="830">
        <v>18836265435.109997</v>
      </c>
      <c r="V57" s="830">
        <v>5889691521.6099997</v>
      </c>
      <c r="W57" s="830">
        <v>12946573913.5</v>
      </c>
      <c r="X57" s="830">
        <v>8629214609.670002</v>
      </c>
      <c r="Y57" s="830">
        <v>4317359303.8299999</v>
      </c>
      <c r="Z57" s="831"/>
      <c r="AA57" s="830">
        <v>6634141526.7100019</v>
      </c>
      <c r="AB57" s="830">
        <v>4962570128.9900007</v>
      </c>
      <c r="AC57" s="830">
        <v>1671571397.7200031</v>
      </c>
      <c r="AD57" s="830">
        <v>3488773644.7800002</v>
      </c>
      <c r="AE57" s="830">
        <v>-1817202247.0600011</v>
      </c>
      <c r="AF57" s="830">
        <v>-2854674184.1799998</v>
      </c>
      <c r="AG57" s="830">
        <v>1037471937.1200011</v>
      </c>
      <c r="AH57" s="831"/>
      <c r="AI57" s="337"/>
      <c r="AJ57" s="337"/>
      <c r="AK57" s="337"/>
      <c r="AL57" s="337"/>
      <c r="AM57" s="337"/>
      <c r="AN57" s="337"/>
      <c r="AO57" s="337"/>
    </row>
    <row r="58" spans="1:41" s="832" customFormat="1" ht="15" customHeight="1" x14ac:dyDescent="0.2">
      <c r="A58" s="827" t="s">
        <v>162</v>
      </c>
      <c r="B58" s="827"/>
      <c r="C58" s="836" t="s">
        <v>106</v>
      </c>
      <c r="D58" s="838"/>
      <c r="E58" s="837">
        <v>4081306371.7900004</v>
      </c>
      <c r="F58" s="837">
        <v>2862165733.73</v>
      </c>
      <c r="G58" s="831"/>
      <c r="H58" s="837">
        <v>1104675859.2400002</v>
      </c>
      <c r="I58" s="223"/>
      <c r="J58" s="831"/>
      <c r="K58" s="223">
        <v>13443674097.439999</v>
      </c>
      <c r="L58" s="223">
        <v>1104675859.2400002</v>
      </c>
      <c r="M58" s="223">
        <v>12338998238.199999</v>
      </c>
      <c r="N58" s="223">
        <v>4110793847.4499998</v>
      </c>
      <c r="O58" s="223">
        <v>8228204390.75</v>
      </c>
      <c r="P58" s="223">
        <v>5366038657.0200005</v>
      </c>
      <c r="Q58" s="223">
        <v>2862165733.73</v>
      </c>
      <c r="R58" s="223"/>
      <c r="S58" s="223">
        <v>22018090803.619999</v>
      </c>
      <c r="T58" s="223">
        <v>3181825368.5099998</v>
      </c>
      <c r="U58" s="223">
        <v>18836265435.109997</v>
      </c>
      <c r="V58" s="223">
        <v>5889691521.6099997</v>
      </c>
      <c r="W58" s="223">
        <v>12946573913.5</v>
      </c>
      <c r="X58" s="223">
        <v>8629214609.670002</v>
      </c>
      <c r="Y58" s="223">
        <v>4317359303.8299999</v>
      </c>
      <c r="Z58" s="223"/>
      <c r="AA58" s="223">
        <v>6634141526.7100019</v>
      </c>
      <c r="AB58" s="223">
        <v>4962570128.9900007</v>
      </c>
      <c r="AC58" s="223">
        <v>1671571397.7200031</v>
      </c>
      <c r="AD58" s="223">
        <v>3488773644.7800002</v>
      </c>
      <c r="AE58" s="223">
        <v>-1817202247.0600011</v>
      </c>
      <c r="AF58" s="223">
        <v>-2854674184.1799998</v>
      </c>
      <c r="AG58" s="223">
        <v>1037471937.1200011</v>
      </c>
      <c r="AH58" s="223"/>
      <c r="AI58" s="223"/>
      <c r="AJ58" s="223"/>
      <c r="AK58" s="223"/>
      <c r="AL58" s="223"/>
      <c r="AM58" s="223"/>
      <c r="AN58" s="223"/>
      <c r="AO58" s="223"/>
    </row>
    <row r="59" spans="1:41" s="832" customFormat="1" ht="13.2" customHeight="1" x14ac:dyDescent="0.2">
      <c r="A59" s="835" t="s">
        <v>205</v>
      </c>
      <c r="B59" s="827"/>
      <c r="C59" s="836" t="s">
        <v>208</v>
      </c>
      <c r="D59" s="838"/>
      <c r="E59" s="837">
        <v>-295300040.28659201</v>
      </c>
      <c r="F59" s="837">
        <v>0</v>
      </c>
      <c r="G59" s="223" t="s">
        <v>530</v>
      </c>
      <c r="H59" s="837">
        <v>-759635484.16119206</v>
      </c>
      <c r="I59" s="223"/>
      <c r="J59" s="223" t="s">
        <v>530</v>
      </c>
      <c r="K59" s="837">
        <v>-1333720294.69401</v>
      </c>
      <c r="L59" s="837">
        <v>-759635484.16119206</v>
      </c>
      <c r="M59" s="837">
        <v>-574084810.53281796</v>
      </c>
      <c r="N59" s="837">
        <v>-581676509.44571805</v>
      </c>
      <c r="O59" s="837">
        <v>7591698.9129003398</v>
      </c>
      <c r="P59" s="837">
        <v>7591698.9129003398</v>
      </c>
      <c r="Q59" s="837">
        <v>0</v>
      </c>
      <c r="R59" s="223"/>
      <c r="S59" s="837">
        <v>0</v>
      </c>
      <c r="T59" s="837">
        <v>0</v>
      </c>
      <c r="U59" s="837">
        <v>0</v>
      </c>
      <c r="V59" s="837">
        <v>0</v>
      </c>
      <c r="W59" s="837">
        <v>0</v>
      </c>
      <c r="X59" s="837">
        <v>0</v>
      </c>
      <c r="Y59" s="837">
        <v>0</v>
      </c>
      <c r="Z59" s="223"/>
      <c r="AA59" s="837">
        <v>0</v>
      </c>
      <c r="AB59" s="837">
        <v>0</v>
      </c>
      <c r="AC59" s="837">
        <v>0</v>
      </c>
      <c r="AD59" s="837">
        <v>0</v>
      </c>
      <c r="AE59" s="837">
        <v>0</v>
      </c>
      <c r="AF59" s="837">
        <v>0</v>
      </c>
      <c r="AG59" s="837">
        <v>0</v>
      </c>
      <c r="AH59" s="223"/>
      <c r="AI59" s="223"/>
      <c r="AJ59" s="223"/>
      <c r="AK59" s="223"/>
      <c r="AL59" s="223"/>
      <c r="AM59" s="223"/>
      <c r="AN59" s="223"/>
      <c r="AO59" s="223"/>
    </row>
    <row r="60" spans="1:41" ht="18" customHeight="1" x14ac:dyDescent="0.2">
      <c r="A60" s="99" t="s">
        <v>119</v>
      </c>
      <c r="B60" s="31"/>
      <c r="C60" s="71" t="s">
        <v>110</v>
      </c>
      <c r="D60" s="56"/>
      <c r="E60" s="234">
        <v>34730525651.447067</v>
      </c>
      <c r="F60" s="234">
        <v>39749020260.339798</v>
      </c>
      <c r="G60" s="196"/>
      <c r="H60" s="234">
        <v>24509631148.968338</v>
      </c>
      <c r="I60" s="338"/>
      <c r="J60" s="196"/>
      <c r="K60" s="234">
        <v>93294806670.824097</v>
      </c>
      <c r="L60" s="234">
        <v>24509631148.968338</v>
      </c>
      <c r="M60" s="234">
        <v>68746756664.180374</v>
      </c>
      <c r="N60" s="234">
        <v>12486084895.02569</v>
      </c>
      <c r="O60" s="234">
        <v>56260671769.154724</v>
      </c>
      <c r="P60" s="234">
        <v>16511651508.814919</v>
      </c>
      <c r="Q60" s="234">
        <v>39749020260.339798</v>
      </c>
      <c r="R60" s="338"/>
      <c r="S60" s="234">
        <v>55972115970.63443</v>
      </c>
      <c r="T60" s="234">
        <v>21070314118.426514</v>
      </c>
      <c r="U60" s="234">
        <v>34901801852.207855</v>
      </c>
      <c r="V60" s="234">
        <v>3428627390.8405724</v>
      </c>
      <c r="W60" s="234">
        <v>31473174461.36729</v>
      </c>
      <c r="X60" s="234">
        <v>23726435067.890137</v>
      </c>
      <c r="Y60" s="234">
        <v>7746739393.4772282</v>
      </c>
      <c r="Z60" s="338"/>
      <c r="AA60" s="234">
        <v>6150221376.2260857</v>
      </c>
      <c r="AB60" s="234">
        <v>6897498963.8389988</v>
      </c>
      <c r="AC60" s="234">
        <v>-747277587.61287928</v>
      </c>
      <c r="AD60" s="234">
        <v>11276154436.231453</v>
      </c>
      <c r="AE60" s="234">
        <v>-12023432023.844378</v>
      </c>
      <c r="AF60" s="234">
        <v>-696449448.96452522</v>
      </c>
      <c r="AG60" s="234">
        <v>-11326982574.879841</v>
      </c>
      <c r="AH60" s="338"/>
      <c r="AI60" s="338"/>
      <c r="AJ60" s="338"/>
      <c r="AK60" s="338"/>
      <c r="AL60" s="338"/>
      <c r="AM60" s="338"/>
      <c r="AN60" s="338"/>
      <c r="AO60" s="338"/>
    </row>
    <row r="61" spans="1:41" hidden="1" outlineLevel="1" x14ac:dyDescent="0.2">
      <c r="A61" s="2"/>
      <c r="B61" s="2"/>
      <c r="C61" s="39"/>
      <c r="D61" s="46"/>
      <c r="E61" s="228">
        <f>ROUND(E60-SUM(E54:E56,E58:E59),1)</f>
        <v>0</v>
      </c>
      <c r="F61" s="228">
        <f>ROUND(F60-SUM(F54:F56,F58:F59),1)</f>
        <v>0</v>
      </c>
      <c r="G61" s="228"/>
      <c r="H61" s="228">
        <f>ROUND(H60-SUM(H54:H56,H58:H59),1)</f>
        <v>0</v>
      </c>
      <c r="I61" s="228"/>
      <c r="J61" s="228"/>
      <c r="K61" s="228">
        <f t="shared" ref="K61:Q61" si="12">ROUND(K60-SUM(K54:K56,K58:K59),1)</f>
        <v>0</v>
      </c>
      <c r="L61" s="228">
        <f t="shared" si="12"/>
        <v>0</v>
      </c>
      <c r="M61" s="228">
        <f t="shared" si="12"/>
        <v>0</v>
      </c>
      <c r="N61" s="228">
        <f t="shared" si="12"/>
        <v>0</v>
      </c>
      <c r="O61" s="228">
        <f t="shared" si="12"/>
        <v>0</v>
      </c>
      <c r="P61" s="228">
        <f t="shared" si="12"/>
        <v>0</v>
      </c>
      <c r="Q61" s="228">
        <f t="shared" si="12"/>
        <v>0</v>
      </c>
      <c r="R61" s="228"/>
      <c r="S61" s="228">
        <f t="shared" ref="S61:Y61" si="13">ROUND(S60-SUM(S54:S56,S58:S59),1)</f>
        <v>0</v>
      </c>
      <c r="T61" s="228">
        <f t="shared" si="13"/>
        <v>0</v>
      </c>
      <c r="U61" s="228">
        <f t="shared" si="13"/>
        <v>0</v>
      </c>
      <c r="V61" s="228">
        <f t="shared" si="13"/>
        <v>0</v>
      </c>
      <c r="W61" s="228">
        <f t="shared" si="13"/>
        <v>0</v>
      </c>
      <c r="X61" s="228">
        <f t="shared" si="13"/>
        <v>0</v>
      </c>
      <c r="Y61" s="228">
        <f t="shared" si="13"/>
        <v>0</v>
      </c>
      <c r="Z61" s="228"/>
      <c r="AA61" s="228">
        <f t="shared" ref="AA61:AG61" si="14">ROUND(AA60-SUM(AA54:AA56,AA58:AA59),1)</f>
        <v>0</v>
      </c>
      <c r="AB61" s="228">
        <f t="shared" si="14"/>
        <v>0</v>
      </c>
      <c r="AC61" s="228">
        <f t="shared" si="14"/>
        <v>0</v>
      </c>
      <c r="AD61" s="228">
        <f t="shared" si="14"/>
        <v>0</v>
      </c>
      <c r="AE61" s="228">
        <f t="shared" si="14"/>
        <v>0</v>
      </c>
      <c r="AF61" s="228">
        <f t="shared" si="14"/>
        <v>0</v>
      </c>
      <c r="AG61" s="228">
        <f t="shared" si="14"/>
        <v>0</v>
      </c>
      <c r="AH61" s="236"/>
      <c r="AI61" s="236"/>
      <c r="AJ61" s="236"/>
      <c r="AK61" s="236"/>
      <c r="AL61" s="236"/>
      <c r="AM61" s="236"/>
      <c r="AN61" s="236"/>
    </row>
    <row r="62" spans="1:41" collapsed="1" x14ac:dyDescent="0.2">
      <c r="A62" s="2"/>
      <c r="B62" s="2"/>
      <c r="C62" s="39"/>
      <c r="D62" s="46"/>
      <c r="E62" s="228"/>
      <c r="F62" s="228"/>
      <c r="G62" s="196"/>
      <c r="H62" s="228"/>
      <c r="I62" s="228"/>
      <c r="J62" s="196"/>
      <c r="K62" s="228"/>
      <c r="L62" s="228"/>
      <c r="M62" s="228"/>
      <c r="N62" s="228"/>
      <c r="O62" s="228"/>
      <c r="P62" s="228"/>
      <c r="Q62" s="196"/>
      <c r="R62" s="228"/>
      <c r="S62" s="228"/>
      <c r="T62" s="228"/>
      <c r="U62" s="228"/>
      <c r="V62" s="228"/>
      <c r="W62" s="228"/>
      <c r="X62" s="228"/>
      <c r="Y62" s="196"/>
      <c r="Z62" s="236"/>
      <c r="AA62" s="236"/>
      <c r="AB62" s="236"/>
      <c r="AC62" s="236"/>
      <c r="AD62" s="236"/>
      <c r="AE62" s="236"/>
      <c r="AF62" s="236"/>
      <c r="AG62" s="196"/>
      <c r="AH62" s="236"/>
      <c r="AI62" s="236"/>
      <c r="AJ62" s="236"/>
      <c r="AK62" s="236"/>
      <c r="AL62" s="236"/>
      <c r="AM62" s="236"/>
      <c r="AN62" s="236"/>
    </row>
    <row r="63" spans="1:41" ht="17.399999999999999" x14ac:dyDescent="0.3">
      <c r="C63" s="102" t="s">
        <v>173</v>
      </c>
      <c r="D63" s="89"/>
      <c r="E63" s="231"/>
      <c r="F63" s="196"/>
      <c r="G63" s="196"/>
      <c r="H63" s="196"/>
      <c r="I63" s="196"/>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row>
    <row r="64" spans="1:41" ht="24" x14ac:dyDescent="0.25">
      <c r="A64" s="97" t="s">
        <v>154</v>
      </c>
      <c r="B64" s="2"/>
      <c r="C64" s="94" t="s">
        <v>107</v>
      </c>
      <c r="D64" s="46"/>
      <c r="E64" s="218" t="str" cm="1">
        <f t="array" ref="E64">"Flows"&amp;" "&amp;"
"&amp;INDEX(TableYtd,MONTH(E$3),2)&amp;YEAR(E$3)</f>
        <v>Flows 
Q1 2026</v>
      </c>
      <c r="F64" s="218" t="str" cm="1">
        <f t="array" ref="F64">"Flows"&amp;" "&amp;"
"&amp;INDEX(TableYtd,MONTH(F$3),2)&amp;YEAR(F$3)</f>
        <v>Flows 
Q1 2025</v>
      </c>
      <c r="G64" s="196"/>
      <c r="H64" s="218" t="str">
        <f>"Flows"&amp;" "&amp;"
"&amp;"Q"&amp;MONTH(H$3)/3&amp;" "&amp;YEAR(H$3)</f>
        <v>Flows 
Q4 2025</v>
      </c>
      <c r="I64" s="339"/>
      <c r="J64" s="196"/>
      <c r="K64" s="218" t="str" cm="1">
        <f t="array" ref="K64">"Flows"&amp;" "&amp;"
"&amp;INDEX(TableYtd,MONTH(K$3),2)&amp;YEAR(K$3)</f>
        <v>Flows 
FY 2025</v>
      </c>
      <c r="L64" s="218" t="str">
        <f>"Flows"&amp;" "&amp;"
"&amp;"Q"&amp;MONTH(L$3)/3&amp;" "&amp;YEAR(L$3)</f>
        <v>Flows 
Q4 2025</v>
      </c>
      <c r="M64" s="218" t="str" cm="1">
        <f t="array" ref="M64">"Flows"&amp;" "&amp;"
"&amp;INDEX(TableYtd,MONTH(M$3),2)&amp;YEAR(M$3)</f>
        <v>Flows 
9M 2025</v>
      </c>
      <c r="N64" s="218" t="str">
        <f>"Flows"&amp;" "&amp;"
"&amp;"Q"&amp;MONTH(N$3)/3&amp;" "&amp;YEAR(N$3)</f>
        <v>Flows 
Q3 2025</v>
      </c>
      <c r="O64" s="218" t="str" cm="1">
        <f t="array" ref="O64">"Flows"&amp;" "&amp;"
"&amp;INDEX(TableYtd,MONTH(O$3),2)&amp;YEAR(O$3)</f>
        <v>Flows 
H1 2025</v>
      </c>
      <c r="P64" s="218" t="str">
        <f>"Flows"&amp;" "&amp;"
"&amp;"Q"&amp;MONTH(P$3)/3&amp;" "&amp;YEAR(P$3)</f>
        <v>Flows 
Q2 2025</v>
      </c>
      <c r="Q64" s="218" t="str">
        <f>"Flows"&amp;" "&amp;"
"&amp;"Q"&amp;MONTH(Q$3)/3&amp;" "&amp;YEAR(Q$3)</f>
        <v>Flows 
Q1 2025</v>
      </c>
      <c r="R64" s="339"/>
      <c r="S64" s="218" t="str" cm="1">
        <f t="array" ref="S64">"Flows"&amp;" "&amp;"
"&amp;INDEX(TableYtd,MONTH(S$3),2)&amp;YEAR(S$3)</f>
        <v>Flows 
FY 2024</v>
      </c>
      <c r="T64" s="218" t="str">
        <f>"Flows"&amp;" "&amp;"
"&amp;"Q"&amp;MONTH(T$3)/3&amp;" "&amp;YEAR(T$3)</f>
        <v>Flows 
Q4 2024</v>
      </c>
      <c r="U64" s="218" t="str" cm="1">
        <f t="array" ref="U64">"Flows"&amp;" "&amp;"
"&amp;INDEX(TableYtd,MONTH(U$3),2)&amp;YEAR(U$3)</f>
        <v>Flows 
9M 2024</v>
      </c>
      <c r="V64" s="218" t="str">
        <f>"Flows"&amp;" "&amp;"
"&amp;"Q"&amp;MONTH(V$3)/3&amp;" "&amp;YEAR(V$3)</f>
        <v>Flows 
Q3 2024</v>
      </c>
      <c r="W64" s="218" t="str" cm="1">
        <f t="array" ref="W64">"Flows"&amp;" "&amp;"
"&amp;INDEX(TableYtd,MONTH(W$3),2)&amp;YEAR(W$3)</f>
        <v>Flows 
H1 2024</v>
      </c>
      <c r="X64" s="218" t="str">
        <f>"Flows"&amp;" "&amp;"
"&amp;"Q"&amp;MONTH(X$3)/3&amp;" "&amp;YEAR(X$3)</f>
        <v>Flows 
Q2 2024</v>
      </c>
      <c r="Y64" s="218" t="str" cm="1">
        <f t="array" ref="Y64">"Flows"&amp;" "&amp;"
"&amp;INDEX(TableYtd,MONTH(Y$3),2)&amp;YEAR(Y$3)</f>
        <v>Flows 
Q1 2024</v>
      </c>
      <c r="Z64" s="339"/>
      <c r="AA64" s="218" t="str" cm="1">
        <f t="array" ref="AA64">"Flows"&amp;" "&amp;"
"&amp;INDEX(TableYtd,MONTH(AA$3),2)&amp;YEAR(AA$3)</f>
        <v>Flows 
FY 2023</v>
      </c>
      <c r="AB64" s="218" t="str">
        <f>"Flows"&amp;" "&amp;"
"&amp;"Q"&amp;MONTH(AB$3)/3&amp;" "&amp;YEAR(AB$3)</f>
        <v>Flows 
Q4 2023</v>
      </c>
      <c r="AC64" s="218" t="str" cm="1">
        <f t="array" ref="AC64">"Flows"&amp;" "&amp;"
"&amp;INDEX(TableYtd,MONTH(AC$3),2)&amp;YEAR(AC$3)</f>
        <v>Flows 
9M 2023</v>
      </c>
      <c r="AD64" s="218" t="str">
        <f>"Flows"&amp;" "&amp;"
"&amp;"Q"&amp;MONTH(AD$3)/3&amp;" "&amp;YEAR(AD$3)</f>
        <v>Flows 
Q3 2023</v>
      </c>
      <c r="AE64" s="218" t="str" cm="1">
        <f t="array" ref="AE64">"Flows"&amp;" "&amp;"
"&amp;INDEX(TableYtd,MONTH(AE$3),2)&amp;YEAR(AE$3)</f>
        <v>Flows 
H1 2023</v>
      </c>
      <c r="AF64" s="218" t="str">
        <f>"Flows"&amp;" "&amp;"
"&amp;"Q"&amp;MONTH(AF$3)/3&amp;" "&amp;YEAR(AF$3)</f>
        <v>Flows 
Q2 2023</v>
      </c>
      <c r="AG64" s="218" t="str">
        <f>"Flows"&amp;" "&amp;"
"&amp;"Q"&amp;MONTH(AG$3)/3&amp;" "&amp;YEAR(AG$3)</f>
        <v>Flows 
Q1 2023</v>
      </c>
      <c r="AI64" s="339"/>
      <c r="AJ64" s="339"/>
      <c r="AK64" s="339"/>
      <c r="AL64" s="339"/>
      <c r="AM64" s="339"/>
      <c r="AN64" s="339"/>
      <c r="AO64" s="339"/>
    </row>
    <row r="65" spans="1:41" s="832" customFormat="1" ht="15" customHeight="1" x14ac:dyDescent="0.25">
      <c r="A65" s="826" t="s">
        <v>164</v>
      </c>
      <c r="B65" s="827"/>
      <c r="C65" s="828" t="s">
        <v>108</v>
      </c>
      <c r="D65" s="829"/>
      <c r="E65" s="830">
        <v>2723714081.7636561</v>
      </c>
      <c r="F65" s="830">
        <v>1957585485.6254606</v>
      </c>
      <c r="G65" s="831"/>
      <c r="H65" s="830">
        <v>-2245628234.2804151</v>
      </c>
      <c r="I65" s="337"/>
      <c r="J65" s="831"/>
      <c r="K65" s="830">
        <v>2502039059.9217086</v>
      </c>
      <c r="L65" s="830">
        <v>-2245628234.2804151</v>
      </c>
      <c r="M65" s="830">
        <v>4747667294.2021217</v>
      </c>
      <c r="N65" s="830">
        <v>967330027.62226939</v>
      </c>
      <c r="O65" s="830">
        <v>3780337266.5798521</v>
      </c>
      <c r="P65" s="830">
        <v>1822751780.954392</v>
      </c>
      <c r="Q65" s="830">
        <v>1957585485.6254606</v>
      </c>
      <c r="R65" s="337"/>
      <c r="S65" s="830">
        <v>14708564032.800001</v>
      </c>
      <c r="T65" s="830">
        <v>4350833738.1100006</v>
      </c>
      <c r="U65" s="830">
        <v>10357730294.689999</v>
      </c>
      <c r="V65" s="830">
        <v>5048850012.8699999</v>
      </c>
      <c r="W65" s="830">
        <v>5308880281.8200016</v>
      </c>
      <c r="X65" s="830">
        <v>527250471.43999946</v>
      </c>
      <c r="Y65" s="830">
        <v>4781629810.3800011</v>
      </c>
      <c r="Z65" s="337"/>
      <c r="AA65" s="830">
        <v>8986375150.8199978</v>
      </c>
      <c r="AB65" s="830">
        <v>4249881459.4700007</v>
      </c>
      <c r="AC65" s="830">
        <v>4736493691.3499889</v>
      </c>
      <c r="AD65" s="830">
        <v>2699966495.3528519</v>
      </c>
      <c r="AE65" s="830">
        <v>2036527195.9971495</v>
      </c>
      <c r="AF65" s="830">
        <v>1949043885.8492246</v>
      </c>
      <c r="AG65" s="830">
        <v>87483310.147924185</v>
      </c>
      <c r="AI65" s="337"/>
      <c r="AJ65" s="337"/>
      <c r="AK65" s="337"/>
      <c r="AL65" s="337"/>
      <c r="AM65" s="337"/>
      <c r="AN65" s="337"/>
      <c r="AO65" s="337"/>
    </row>
    <row r="66" spans="1:41" s="832" customFormat="1" ht="15" customHeight="1" x14ac:dyDescent="0.2">
      <c r="A66" s="833" t="s">
        <v>165</v>
      </c>
      <c r="B66" s="827"/>
      <c r="C66" s="828" t="s">
        <v>109</v>
      </c>
      <c r="D66" s="834"/>
      <c r="E66" s="830">
        <v>-3739117711.3506651</v>
      </c>
      <c r="F66" s="830">
        <v>-9014871760.6961975</v>
      </c>
      <c r="G66" s="831"/>
      <c r="H66" s="830">
        <v>-1195259735.8565502</v>
      </c>
      <c r="I66" s="337"/>
      <c r="J66" s="831"/>
      <c r="K66" s="830">
        <v>-12924561249.505278</v>
      </c>
      <c r="L66" s="830">
        <v>-1195259735.8565502</v>
      </c>
      <c r="M66" s="830">
        <v>-11729301513.648752</v>
      </c>
      <c r="N66" s="830">
        <v>1325938027.9550276</v>
      </c>
      <c r="O66" s="830">
        <v>-13055239541.603775</v>
      </c>
      <c r="P66" s="830">
        <v>-4040367780.9075809</v>
      </c>
      <c r="Q66" s="830">
        <v>-9014871760.6961975</v>
      </c>
      <c r="R66" s="337"/>
      <c r="S66" s="830">
        <v>-6552398650.267704</v>
      </c>
      <c r="T66" s="830">
        <v>1520990879.1114712</v>
      </c>
      <c r="U66" s="830">
        <v>-8073389529.3791857</v>
      </c>
      <c r="V66" s="830">
        <v>-1292909436.0130916</v>
      </c>
      <c r="W66" s="830">
        <v>-6780480093.3660984</v>
      </c>
      <c r="X66" s="830">
        <v>-9071857831.5660877</v>
      </c>
      <c r="Y66" s="830">
        <v>2291377738.2000046</v>
      </c>
      <c r="Z66" s="337"/>
      <c r="AA66" s="830">
        <v>5763961328.9370565</v>
      </c>
      <c r="AB66" s="830">
        <v>4482606654.1423483</v>
      </c>
      <c r="AC66" s="830">
        <v>1281354674.7947345</v>
      </c>
      <c r="AD66" s="830">
        <v>1564395364.211868</v>
      </c>
      <c r="AE66" s="830">
        <v>-283040689.41716146</v>
      </c>
      <c r="AF66" s="830">
        <v>-485566599.63922608</v>
      </c>
      <c r="AG66" s="830">
        <v>202525910.2220695</v>
      </c>
      <c r="AI66" s="337"/>
      <c r="AJ66" s="337"/>
      <c r="AK66" s="337"/>
      <c r="AL66" s="337"/>
      <c r="AM66" s="337"/>
      <c r="AN66" s="337"/>
      <c r="AO66" s="337"/>
    </row>
    <row r="67" spans="1:41" s="832" customFormat="1" ht="15" customHeight="1" x14ac:dyDescent="0.2">
      <c r="A67" s="826" t="s">
        <v>166</v>
      </c>
      <c r="B67" s="827"/>
      <c r="C67" s="828" t="s">
        <v>179</v>
      </c>
      <c r="D67" s="838"/>
      <c r="E67" s="830">
        <v>-1044516011.24</v>
      </c>
      <c r="F67" s="830">
        <v>-1620073173.5900002</v>
      </c>
      <c r="G67" s="831"/>
      <c r="H67" s="830">
        <v>-711675398.25999999</v>
      </c>
      <c r="I67" s="337"/>
      <c r="J67" s="831"/>
      <c r="K67" s="337">
        <v>-1298366686.1800001</v>
      </c>
      <c r="L67" s="337">
        <v>-711675398.25999999</v>
      </c>
      <c r="M67" s="337">
        <v>-586691287.92000043</v>
      </c>
      <c r="N67" s="337">
        <v>-215314035.09999999</v>
      </c>
      <c r="O67" s="337">
        <v>-371377252.81999999</v>
      </c>
      <c r="P67" s="337">
        <v>1248695920.77</v>
      </c>
      <c r="Q67" s="337">
        <v>-1620073173.5900002</v>
      </c>
      <c r="R67" s="337"/>
      <c r="S67" s="337">
        <v>-9934183943.75</v>
      </c>
      <c r="T67" s="337">
        <v>-5220286386.3700008</v>
      </c>
      <c r="U67" s="337">
        <v>-4713897557.3800001</v>
      </c>
      <c r="V67" s="337">
        <v>-3651251532.8600001</v>
      </c>
      <c r="W67" s="337">
        <v>-1062646024.52</v>
      </c>
      <c r="X67" s="337">
        <v>-2673533081.8299999</v>
      </c>
      <c r="Y67" s="337">
        <v>1610887057.3099999</v>
      </c>
      <c r="Z67" s="337"/>
      <c r="AA67" s="337">
        <v>4530892584.6699991</v>
      </c>
      <c r="AB67" s="337">
        <v>2513798301.3299999</v>
      </c>
      <c r="AC67" s="337">
        <v>2017094283.3399997</v>
      </c>
      <c r="AD67" s="337">
        <v>-735715565.50000012</v>
      </c>
      <c r="AE67" s="337">
        <v>2752809848.8399997</v>
      </c>
      <c r="AF67" s="337">
        <v>968678335.53999996</v>
      </c>
      <c r="AG67" s="337">
        <v>1784131513.3</v>
      </c>
      <c r="AI67" s="337"/>
      <c r="AJ67" s="337"/>
      <c r="AK67" s="337"/>
      <c r="AL67" s="337"/>
      <c r="AM67" s="337"/>
      <c r="AN67" s="337"/>
      <c r="AO67" s="337"/>
    </row>
    <row r="68" spans="1:41" s="832" customFormat="1" ht="15" customHeight="1" x14ac:dyDescent="0.2">
      <c r="A68" s="833" t="s">
        <v>442</v>
      </c>
      <c r="B68" s="827"/>
      <c r="C68" s="828" t="s">
        <v>439</v>
      </c>
      <c r="D68" s="834"/>
      <c r="E68" s="830">
        <v>-645819676.08285546</v>
      </c>
      <c r="F68" s="830">
        <v>63302887.809999913</v>
      </c>
      <c r="G68" s="831"/>
      <c r="H68" s="830">
        <v>568729891.15716684</v>
      </c>
      <c r="I68" s="337"/>
      <c r="J68" s="831"/>
      <c r="K68" s="830">
        <v>6039381523.3418493</v>
      </c>
      <c r="L68" s="830">
        <v>568729891.15716684</v>
      </c>
      <c r="M68" s="830">
        <v>5470651632.1846819</v>
      </c>
      <c r="N68" s="830">
        <v>523604850.14550227</v>
      </c>
      <c r="O68" s="830">
        <v>4947046782.0391808</v>
      </c>
      <c r="P68" s="830">
        <v>4883743894.2291803</v>
      </c>
      <c r="Q68" s="830">
        <v>63302887.809999913</v>
      </c>
      <c r="R68" s="337"/>
      <c r="S68" s="830">
        <v>1249782682.48</v>
      </c>
      <c r="T68" s="830">
        <v>-1256482246.6400001</v>
      </c>
      <c r="U68" s="830">
        <v>2506264929.1199999</v>
      </c>
      <c r="V68" s="830">
        <v>-625437945.00999999</v>
      </c>
      <c r="W68" s="830">
        <v>3131702874.1299996</v>
      </c>
      <c r="X68" s="830">
        <v>2957709074.1300001</v>
      </c>
      <c r="Y68" s="830">
        <v>173993800.00000009</v>
      </c>
      <c r="Z68" s="831"/>
      <c r="AA68" s="830">
        <v>389166769.28000015</v>
      </c>
      <c r="AB68" s="830">
        <v>1350452583.7200003</v>
      </c>
      <c r="AC68" s="830">
        <v>-961285814.43999994</v>
      </c>
      <c r="AD68" s="830">
        <v>-1076962438.5100002</v>
      </c>
      <c r="AE68" s="830">
        <v>115676624.06999996</v>
      </c>
      <c r="AF68" s="830">
        <v>1920506684.96</v>
      </c>
      <c r="AG68" s="830">
        <v>-1804830060.8899999</v>
      </c>
      <c r="AH68" s="831"/>
      <c r="AI68" s="337"/>
      <c r="AJ68" s="337"/>
      <c r="AK68" s="337"/>
      <c r="AL68" s="337"/>
      <c r="AM68" s="337"/>
      <c r="AN68" s="337"/>
      <c r="AO68" s="337"/>
    </row>
    <row r="69" spans="1:41" s="832" customFormat="1" ht="15" customHeight="1" x14ac:dyDescent="0.2">
      <c r="A69" s="827" t="s">
        <v>167</v>
      </c>
      <c r="B69" s="827"/>
      <c r="C69" s="836" t="s">
        <v>106</v>
      </c>
      <c r="D69" s="838"/>
      <c r="E69" s="837">
        <v>-602026362.1500001</v>
      </c>
      <c r="F69" s="837">
        <v>63302887.809999943</v>
      </c>
      <c r="G69" s="831"/>
      <c r="H69" s="837">
        <v>573530063.04000008</v>
      </c>
      <c r="I69" s="223"/>
      <c r="J69" s="831"/>
      <c r="K69" s="223">
        <v>6087673261.4400005</v>
      </c>
      <c r="L69" s="223">
        <v>573530063.04000008</v>
      </c>
      <c r="M69" s="223">
        <v>5514143198.3999996</v>
      </c>
      <c r="N69" s="223">
        <v>534374367.4600001</v>
      </c>
      <c r="O69" s="223">
        <v>4979768830.9400005</v>
      </c>
      <c r="P69" s="223">
        <v>4916465943.1300001</v>
      </c>
      <c r="Q69" s="223">
        <v>63302887.809999943</v>
      </c>
      <c r="R69" s="223"/>
      <c r="S69" s="223">
        <v>1249782682.48</v>
      </c>
      <c r="T69" s="223">
        <v>-1256482246.6400001</v>
      </c>
      <c r="U69" s="223">
        <v>2506264929.1199999</v>
      </c>
      <c r="V69" s="223">
        <v>-625437945.00999999</v>
      </c>
      <c r="W69" s="223">
        <v>3131702874.1300001</v>
      </c>
      <c r="X69" s="223">
        <v>2957709074.1300001</v>
      </c>
      <c r="Y69" s="223">
        <v>173993799.99999988</v>
      </c>
      <c r="Z69" s="223"/>
      <c r="AA69" s="223">
        <v>389166769.28000009</v>
      </c>
      <c r="AB69" s="223">
        <v>1350452583.72</v>
      </c>
      <c r="AC69" s="223">
        <v>-961285814.43999982</v>
      </c>
      <c r="AD69" s="223">
        <v>-1076962438.5100002</v>
      </c>
      <c r="AE69" s="223">
        <v>115676624.06999993</v>
      </c>
      <c r="AF69" s="223">
        <v>1920506684.9600003</v>
      </c>
      <c r="AG69" s="223">
        <v>-1804830060.8899999</v>
      </c>
      <c r="AI69" s="223"/>
      <c r="AJ69" s="223"/>
      <c r="AK69" s="223"/>
      <c r="AL69" s="223"/>
      <c r="AM69" s="223"/>
      <c r="AN69" s="223"/>
      <c r="AO69" s="223"/>
    </row>
    <row r="70" spans="1:41" s="832" customFormat="1" ht="13.2" customHeight="1" x14ac:dyDescent="0.2">
      <c r="A70" s="835" t="s">
        <v>206</v>
      </c>
      <c r="B70" s="827"/>
      <c r="C70" s="836" t="s">
        <v>208</v>
      </c>
      <c r="D70" s="838"/>
      <c r="E70" s="837">
        <v>-43793313.932855397</v>
      </c>
      <c r="F70" s="837">
        <v>0</v>
      </c>
      <c r="G70" s="223" t="s">
        <v>530</v>
      </c>
      <c r="H70" s="837">
        <v>-4800171.8828331996</v>
      </c>
      <c r="I70" s="223"/>
      <c r="J70" s="223" t="s">
        <v>530</v>
      </c>
      <c r="K70" s="837">
        <v>-48291738.098150797</v>
      </c>
      <c r="L70" s="837">
        <v>-4800171.8828331996</v>
      </c>
      <c r="M70" s="837">
        <v>-43491566.215317599</v>
      </c>
      <c r="N70" s="837">
        <v>-10769517.314497801</v>
      </c>
      <c r="O70" s="837">
        <v>-32722048.900819801</v>
      </c>
      <c r="P70" s="837">
        <v>-32722048.900819801</v>
      </c>
      <c r="Q70" s="837">
        <v>0</v>
      </c>
      <c r="R70" s="223"/>
      <c r="S70" s="837">
        <v>0</v>
      </c>
      <c r="T70" s="837">
        <v>0</v>
      </c>
      <c r="U70" s="837">
        <v>0</v>
      </c>
      <c r="V70" s="837">
        <v>0</v>
      </c>
      <c r="W70" s="837">
        <v>0</v>
      </c>
      <c r="X70" s="837">
        <v>0</v>
      </c>
      <c r="Y70" s="837">
        <v>0</v>
      </c>
      <c r="Z70" s="223"/>
      <c r="AA70" s="837">
        <v>0</v>
      </c>
      <c r="AB70" s="837">
        <v>0</v>
      </c>
      <c r="AC70" s="837">
        <v>0</v>
      </c>
      <c r="AD70" s="837">
        <v>0</v>
      </c>
      <c r="AE70" s="837">
        <v>0</v>
      </c>
      <c r="AF70" s="837">
        <v>0</v>
      </c>
      <c r="AG70" s="837">
        <v>0</v>
      </c>
      <c r="AI70" s="223"/>
      <c r="AJ70" s="223"/>
      <c r="AK70" s="223"/>
      <c r="AL70" s="223"/>
      <c r="AM70" s="223"/>
      <c r="AN70" s="223"/>
      <c r="AO70" s="223"/>
    </row>
    <row r="71" spans="1:41" ht="16.95" customHeight="1" x14ac:dyDescent="0.2">
      <c r="A71" s="99" t="s">
        <v>120</v>
      </c>
      <c r="B71" s="31"/>
      <c r="C71" s="71" t="s">
        <v>110</v>
      </c>
      <c r="D71" s="56"/>
      <c r="E71" s="234">
        <v>-2705739316.909863</v>
      </c>
      <c r="F71" s="234">
        <v>-8614056560.8507404</v>
      </c>
      <c r="G71" s="196"/>
      <c r="H71" s="234">
        <v>-3583833477.2397914</v>
      </c>
      <c r="I71" s="338"/>
      <c r="J71" s="196"/>
      <c r="K71" s="234">
        <v>-5681507352.4217215</v>
      </c>
      <c r="L71" s="234">
        <v>-3583833477.2397914</v>
      </c>
      <c r="M71" s="234">
        <v>-2097673875.181942</v>
      </c>
      <c r="N71" s="234">
        <v>2601558870.622798</v>
      </c>
      <c r="O71" s="234">
        <v>-4699232745.8047409</v>
      </c>
      <c r="P71" s="234">
        <v>3914823815.0459909</v>
      </c>
      <c r="Q71" s="234">
        <v>-8614056560.8507404</v>
      </c>
      <c r="R71" s="338"/>
      <c r="S71" s="234">
        <v>-528235878.73770738</v>
      </c>
      <c r="T71" s="234">
        <v>-604944015.78852725</v>
      </c>
      <c r="U71" s="234">
        <v>76708137.050823748</v>
      </c>
      <c r="V71" s="234">
        <v>-520748901.01309222</v>
      </c>
      <c r="W71" s="234">
        <v>597457038.06390262</v>
      </c>
      <c r="X71" s="234">
        <v>-8260431367.826088</v>
      </c>
      <c r="Y71" s="234">
        <v>8857888405.8899994</v>
      </c>
      <c r="Z71" s="338"/>
      <c r="AA71" s="234">
        <v>19670395833.707073</v>
      </c>
      <c r="AB71" s="234">
        <v>12596738998.66234</v>
      </c>
      <c r="AC71" s="234">
        <v>7073656835.0447321</v>
      </c>
      <c r="AD71" s="234">
        <v>2451683855.5547194</v>
      </c>
      <c r="AE71" s="234">
        <v>4621972979.4899874</v>
      </c>
      <c r="AF71" s="234">
        <v>4352662306.710001</v>
      </c>
      <c r="AG71" s="234">
        <v>269310672.77999479</v>
      </c>
      <c r="AI71" s="338"/>
      <c r="AJ71" s="338"/>
      <c r="AK71" s="338"/>
      <c r="AL71" s="338"/>
      <c r="AM71" s="338"/>
      <c r="AN71" s="338"/>
      <c r="AO71" s="338"/>
    </row>
    <row r="72" spans="1:41" hidden="1" outlineLevel="1" x14ac:dyDescent="0.2">
      <c r="A72" s="2"/>
      <c r="B72" s="2"/>
      <c r="C72" s="39"/>
      <c r="D72" s="46"/>
      <c r="E72" s="228">
        <f>ROUND(E71-SUM(E65:E67,E69:E70),1)</f>
        <v>0</v>
      </c>
      <c r="F72" s="228">
        <f t="shared" ref="F72:AG72" si="15">ROUND(F71-SUM(F65:F67,F69:F70),1)</f>
        <v>0</v>
      </c>
      <c r="G72" s="228"/>
      <c r="H72" s="228">
        <f t="shared" si="15"/>
        <v>0</v>
      </c>
      <c r="I72" s="228"/>
      <c r="J72" s="228"/>
      <c r="K72" s="228">
        <f t="shared" si="15"/>
        <v>0</v>
      </c>
      <c r="L72" s="228">
        <f t="shared" si="15"/>
        <v>0</v>
      </c>
      <c r="M72" s="228">
        <f t="shared" si="15"/>
        <v>0</v>
      </c>
      <c r="N72" s="228">
        <f t="shared" si="15"/>
        <v>0</v>
      </c>
      <c r="O72" s="228">
        <f t="shared" si="15"/>
        <v>0</v>
      </c>
      <c r="P72" s="228">
        <f t="shared" si="15"/>
        <v>0</v>
      </c>
      <c r="Q72" s="228">
        <f t="shared" si="15"/>
        <v>0</v>
      </c>
      <c r="R72" s="228"/>
      <c r="S72" s="228">
        <f t="shared" si="15"/>
        <v>0</v>
      </c>
      <c r="T72" s="228">
        <f t="shared" si="15"/>
        <v>0</v>
      </c>
      <c r="U72" s="228">
        <f t="shared" si="15"/>
        <v>0</v>
      </c>
      <c r="V72" s="228">
        <f t="shared" si="15"/>
        <v>0</v>
      </c>
      <c r="W72" s="228">
        <f t="shared" si="15"/>
        <v>0</v>
      </c>
      <c r="X72" s="228">
        <f t="shared" si="15"/>
        <v>0</v>
      </c>
      <c r="Y72" s="228">
        <f t="shared" si="15"/>
        <v>0</v>
      </c>
      <c r="Z72" s="228"/>
      <c r="AA72" s="228">
        <f t="shared" si="15"/>
        <v>0</v>
      </c>
      <c r="AB72" s="228">
        <f t="shared" si="15"/>
        <v>0</v>
      </c>
      <c r="AC72" s="228">
        <f t="shared" si="15"/>
        <v>0</v>
      </c>
      <c r="AD72" s="228">
        <f t="shared" si="15"/>
        <v>0</v>
      </c>
      <c r="AE72" s="228">
        <f t="shared" si="15"/>
        <v>0</v>
      </c>
      <c r="AF72" s="228">
        <f t="shared" si="15"/>
        <v>0</v>
      </c>
      <c r="AG72" s="228">
        <f t="shared" si="15"/>
        <v>0</v>
      </c>
      <c r="AH72" s="236"/>
      <c r="AI72" s="236"/>
      <c r="AJ72" s="236"/>
      <c r="AK72" s="236"/>
      <c r="AL72" s="236"/>
      <c r="AM72" s="236"/>
      <c r="AN72" s="236"/>
    </row>
    <row r="73" spans="1:41" collapsed="1" x14ac:dyDescent="0.2">
      <c r="C73" t="s">
        <v>265</v>
      </c>
    </row>
  </sheetData>
  <phoneticPr fontId="29" type="noConversion"/>
  <pageMargins left="0.39370078740157483" right="0.39370078740157483" top="0.39370078740157483" bottom="0.59055118110236227" header="0.31496062992125984" footer="0.19685039370078741"/>
  <pageSetup paperSize="9" scale="53" orientation="landscape" r:id="rId1"/>
  <headerFooter>
    <oddFooter>&amp;L&amp;"Arial Black,Normal"&amp;F - &amp;A&amp;C&amp;"Arial Black,Normal"&amp;8p. &amp;P / &amp;N&amp;R&amp;"Arial Narrow,Normal"&amp;8&amp;G</oddFooter>
  </headerFooter>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2BA8D-A607-4AF4-AE79-88348E2D095C}">
  <sheetPr>
    <pageSetUpPr fitToPage="1"/>
  </sheetPr>
  <dimension ref="A1:AJ91"/>
  <sheetViews>
    <sheetView showGridLines="0" topLeftCell="B1" zoomScaleNormal="100" workbookViewId="0">
      <pane ySplit="5" topLeftCell="A62" activePane="bottomLeft" state="frozen"/>
      <selection activeCell="L26" sqref="L26"/>
      <selection pane="bottomLeft"/>
    </sheetView>
  </sheetViews>
  <sheetFormatPr defaultColWidth="9.125" defaultRowHeight="11.4" outlineLevelRow="1" outlineLevelCol="1" x14ac:dyDescent="0.2"/>
  <cols>
    <col min="1" max="1" width="25.75" hidden="1" customWidth="1" outlineLevel="1"/>
    <col min="2" max="2" width="2.75" customWidth="1" collapsed="1"/>
    <col min="3" max="3" width="49.375" customWidth="1"/>
    <col min="4" max="4" width="2.875" style="45" customWidth="1"/>
    <col min="5" max="9" width="9.625" customWidth="1"/>
    <col min="10" max="10" width="2.75" customWidth="1"/>
    <col min="11" max="11" width="15.75" hidden="1" customWidth="1"/>
    <col min="12" max="12" width="12.75" hidden="1" customWidth="1"/>
    <col min="13" max="13" width="4.5" customWidth="1"/>
    <col min="14" max="20" width="9.625" customWidth="1"/>
    <col min="21" max="21" width="4.5" customWidth="1"/>
    <col min="22" max="28" width="9.625" customWidth="1"/>
    <col min="29" max="29" width="4.5" customWidth="1"/>
    <col min="30" max="36" width="9.625" customWidth="1"/>
    <col min="37" max="37" width="10.625" customWidth="1"/>
  </cols>
  <sheetData>
    <row r="1" spans="1:36" s="814" customFormat="1" hidden="1" outlineLevel="1" x14ac:dyDescent="0.2">
      <c r="A1" s="134"/>
      <c r="B1" s="134"/>
      <c r="C1" s="30" t="s">
        <v>149</v>
      </c>
      <c r="D1" s="340"/>
      <c r="E1" s="817">
        <f>DateRef</f>
        <v>46112</v>
      </c>
      <c r="F1" s="817">
        <f>EOMONTH($E$1,-12)</f>
        <v>45747</v>
      </c>
      <c r="G1" s="818"/>
      <c r="H1" s="817">
        <f>EOMONTH($E$1,-3)</f>
        <v>46022</v>
      </c>
      <c r="I1" s="817"/>
      <c r="J1" s="819"/>
      <c r="K1" s="817">
        <f>EOMONTH($E$1,-3)</f>
        <v>46022</v>
      </c>
      <c r="L1" s="817">
        <f>EOMONTH(K1,-3)</f>
        <v>45930</v>
      </c>
      <c r="M1" s="817"/>
      <c r="N1" s="817">
        <v>46022</v>
      </c>
      <c r="P1" s="817">
        <f>EOMONTH(N1,-3)</f>
        <v>45930</v>
      </c>
      <c r="R1" s="817">
        <f>EOMONTH(P1,-3)</f>
        <v>45838</v>
      </c>
      <c r="T1" s="817">
        <f>EOMONTH(R1,-3)</f>
        <v>45747</v>
      </c>
      <c r="V1" s="817">
        <f>EOMONTH(T1,-3)</f>
        <v>45657</v>
      </c>
      <c r="X1" s="817">
        <f>EOMONTH(V1,-3)</f>
        <v>45565</v>
      </c>
      <c r="Z1" s="817">
        <f>EOMONTH(X1,-3)</f>
        <v>45473</v>
      </c>
      <c r="AB1" s="817">
        <f>EOMONTH(Z1,-3)</f>
        <v>45382</v>
      </c>
      <c r="AC1" s="817"/>
      <c r="AD1" s="817">
        <f>EOMONTH(AB1,-3)</f>
        <v>45291</v>
      </c>
      <c r="AF1" s="817">
        <f>EOMONTH(AD1,-3)</f>
        <v>45199</v>
      </c>
      <c r="AH1" s="817">
        <f>EOMONTH(AF1,-3)</f>
        <v>45107</v>
      </c>
      <c r="AI1" s="817"/>
      <c r="AJ1" s="817">
        <f>EOMONTH(AH1,-3)</f>
        <v>45016</v>
      </c>
    </row>
    <row r="2" spans="1:36" s="814" customFormat="1" hidden="1" outlineLevel="1" x14ac:dyDescent="0.2">
      <c r="A2" s="134"/>
      <c r="B2" s="134"/>
      <c r="C2" s="30" t="s">
        <v>146</v>
      </c>
      <c r="D2" s="343"/>
      <c r="E2" s="819" t="str">
        <f>DateYtd</f>
        <v>2026Mar</v>
      </c>
      <c r="F2" s="819" t="str" cm="1">
        <f t="array" ref="F2">YEAR(EOMONTH(DateRef,-12))&amp;INDEX(TableYtd,MONTH(EOMONTH(DateRef,-12)),1)</f>
        <v>2025Mar</v>
      </c>
      <c r="G2" s="818"/>
      <c r="H2" s="819" t="str" cm="1">
        <f t="array" ref="H2">YEAR(EOMONTH(DateRef,-3))&amp;INDEX(TableYtd,MONTH(EOMONTH(DateRef,-3)),1)</f>
        <v>2025Dec</v>
      </c>
      <c r="I2" s="818"/>
      <c r="J2" s="819"/>
      <c r="K2" s="819" t="str">
        <f>DateYtd</f>
        <v>2026Mar</v>
      </c>
      <c r="L2" s="819" t="str" cm="1">
        <f t="array" ref="L2">YEAR(L1)&amp;INDEX(TableYtd,MONTH(L1),1)</f>
        <v>2025Sep</v>
      </c>
      <c r="M2" s="819"/>
      <c r="N2" s="819" t="str" cm="1">
        <f t="array" ref="N2">YEAR(N1)&amp;INDEX(TableYtd,MONTH(N1),1)</f>
        <v>2025Dec</v>
      </c>
      <c r="P2" s="819" t="str" cm="1">
        <f t="array" ref="P2">YEAR(P1)&amp;INDEX(TableYtd,MONTH(P1),1)</f>
        <v>2025Sep</v>
      </c>
      <c r="R2" s="819" t="str" cm="1">
        <f t="array" ref="R2">YEAR(R1)&amp;INDEX(TableYtd,MONTH(R1),1)</f>
        <v>2025Jun</v>
      </c>
      <c r="T2" s="819" t="str" cm="1">
        <f t="array" ref="T2">YEAR(T1)&amp;INDEX(TableYtd,MONTH(T1),1)</f>
        <v>2025Mar</v>
      </c>
      <c r="V2" s="819" t="str" cm="1">
        <f t="array" ref="V2">YEAR(V1)&amp;INDEX(TableYtd,MONTH(V1),1)</f>
        <v>2024Dec</v>
      </c>
      <c r="X2" s="819" t="str" cm="1">
        <f t="array" ref="X2">YEAR(X1)&amp;INDEX(TableYtd,MONTH(X1),1)</f>
        <v>2024Sep</v>
      </c>
      <c r="Z2" s="819" t="str" cm="1">
        <f t="array" ref="Z2">YEAR(Z1)&amp;INDEX(TableYtd,MONTH(Z1),1)</f>
        <v>2024Jun</v>
      </c>
      <c r="AB2" s="819" t="str" cm="1">
        <f t="array" ref="AB2">YEAR(AB1)&amp;INDEX(TableYtd,MONTH(AB1),1)</f>
        <v>2024Mar</v>
      </c>
      <c r="AC2" s="819"/>
      <c r="AD2" s="819" t="str" cm="1">
        <f t="array" ref="AD2">YEAR(AD1)&amp;INDEX(TableYtd,MONTH(AD1),1)</f>
        <v>2023Dec</v>
      </c>
      <c r="AF2" s="819" t="str" cm="1">
        <f t="array" ref="AF2">YEAR(AF1)&amp;INDEX(TableYtd,MONTH(AF1),1)</f>
        <v>2023Sep</v>
      </c>
      <c r="AH2" s="819" t="str" cm="1">
        <f t="array" ref="AH2">YEAR(AH1)&amp;INDEX(TableYtd,MONTH(AH1),1)</f>
        <v>2023Jun</v>
      </c>
      <c r="AI2" s="819"/>
      <c r="AJ2" s="819" t="str" cm="1">
        <f t="array" ref="AJ2">YEAR(AJ1)&amp;INDEX(TableYtd,MONTH(AJ1),1)</f>
        <v>2023Mar</v>
      </c>
    </row>
    <row r="3" spans="1:36" hidden="1" outlineLevel="1" x14ac:dyDescent="0.2">
      <c r="A3" s="134"/>
      <c r="B3" s="134"/>
      <c r="C3" s="30" t="s">
        <v>155</v>
      </c>
      <c r="D3" s="340"/>
      <c r="E3" s="810">
        <f>DateRef</f>
        <v>46112</v>
      </c>
      <c r="F3" s="810">
        <f>EOMONTH($E$1,-12)</f>
        <v>45747</v>
      </c>
      <c r="G3" s="811"/>
      <c r="H3" s="810">
        <f>EOMONTH($E$3,-3)</f>
        <v>46022</v>
      </c>
      <c r="I3" s="810"/>
      <c r="J3" s="812"/>
      <c r="K3" s="810"/>
      <c r="L3" s="810"/>
      <c r="M3" s="810"/>
      <c r="N3" s="817">
        <v>46022</v>
      </c>
      <c r="O3" s="817">
        <v>46022</v>
      </c>
      <c r="P3" s="810">
        <f>EOMONTH(N3,-3)</f>
        <v>45930</v>
      </c>
      <c r="Q3" s="810">
        <f>EOMONTH(O3,-3)</f>
        <v>45930</v>
      </c>
      <c r="R3" s="810">
        <f>EOMONTH(P3,-3)</f>
        <v>45838</v>
      </c>
      <c r="S3" s="810">
        <f>EOMONTH(Q3,-3)</f>
        <v>45838</v>
      </c>
      <c r="T3" s="810">
        <f>EOMONTH(R3,-3)</f>
        <v>45747</v>
      </c>
      <c r="U3" s="810"/>
      <c r="V3" s="817">
        <v>45657</v>
      </c>
      <c r="W3" s="817">
        <v>45657</v>
      </c>
      <c r="X3" s="810">
        <f>EOMONTH(V3,-3)</f>
        <v>45565</v>
      </c>
      <c r="Y3" s="810">
        <f>EOMONTH(W3,-3)</f>
        <v>45565</v>
      </c>
      <c r="Z3" s="810">
        <f>EOMONTH(X3,-3)</f>
        <v>45473</v>
      </c>
      <c r="AA3" s="810">
        <f>EOMONTH(Y3,-3)</f>
        <v>45473</v>
      </c>
      <c r="AB3" s="810">
        <f>EOMONTH(Z3,-3)</f>
        <v>45382</v>
      </c>
      <c r="AC3" s="810"/>
      <c r="AD3" s="817">
        <v>45291</v>
      </c>
      <c r="AE3" s="817">
        <v>45291</v>
      </c>
      <c r="AF3" s="810">
        <f>EOMONTH(AD3,-3)</f>
        <v>45199</v>
      </c>
      <c r="AG3" s="810">
        <f>EOMONTH(AE3,-3)</f>
        <v>45199</v>
      </c>
      <c r="AH3" s="810">
        <f>EOMONTH(AF3,-3)</f>
        <v>45107</v>
      </c>
      <c r="AI3" s="810">
        <f>EOMONTH(AG3,-3)</f>
        <v>45107</v>
      </c>
      <c r="AJ3" s="810">
        <f>EOMONTH(AH3,-3)</f>
        <v>45016</v>
      </c>
    </row>
    <row r="4" spans="1:36" hidden="1" outlineLevel="1" x14ac:dyDescent="0.2">
      <c r="A4" s="134"/>
      <c r="B4" s="134"/>
      <c r="C4" s="30" t="s">
        <v>147</v>
      </c>
      <c r="D4" s="340"/>
      <c r="E4" s="812" t="str">
        <f>DateYtd</f>
        <v>2026Mar</v>
      </c>
      <c r="F4" s="812" t="str" cm="1">
        <f t="array" ref="F4">YEAR(EOMONTH(DateRef,-12))&amp;INDEX(TableYtd,MONTH(EOMONTH(DateRef,-12)),1)</f>
        <v>2025Mar</v>
      </c>
      <c r="G4" s="811"/>
      <c r="H4" s="812" t="s">
        <v>460</v>
      </c>
      <c r="I4" s="812"/>
      <c r="J4" s="812"/>
      <c r="K4" s="812"/>
      <c r="L4" s="813"/>
      <c r="M4" s="812"/>
      <c r="N4" s="819" t="str" cm="1">
        <f t="array" ref="N4">YEAR(N3)&amp;INDEX(TableYtd,MONTH(N3),1)</f>
        <v>2025Dec</v>
      </c>
      <c r="O4" s="812" t="str">
        <f>YEAR(O3)&amp;"Q"&amp;MONTH(O3)/3</f>
        <v>2025Q4</v>
      </c>
      <c r="P4" s="819" t="str" cm="1">
        <f t="array" ref="P4">YEAR(P3)&amp;INDEX(TableYtd,MONTH(P3),1)</f>
        <v>2025Sep</v>
      </c>
      <c r="Q4" s="812" t="str">
        <f>YEAR(Q3)&amp;"Q"&amp;MONTH(Q3)/3</f>
        <v>2025Q3</v>
      </c>
      <c r="R4" s="819" t="str" cm="1">
        <f t="array" ref="R4">YEAR(R3)&amp;INDEX(TableYtd,MONTH(R3),1)</f>
        <v>2025Jun</v>
      </c>
      <c r="S4" s="812" t="str">
        <f>YEAR(S3)&amp;"Q"&amp;MONTH(S3)/3</f>
        <v>2025Q2</v>
      </c>
      <c r="T4" s="812" t="str">
        <f>YEAR(T3)&amp;"Q"&amp;MONTH(T3)/3</f>
        <v>2025Q1</v>
      </c>
      <c r="U4" s="812"/>
      <c r="V4" s="819" t="str" cm="1">
        <f t="array" ref="V4">YEAR(V3)&amp;INDEX(TableYtd,MONTH(V3),1)</f>
        <v>2024Dec</v>
      </c>
      <c r="W4" s="812" t="str">
        <f>YEAR(W3)&amp;"Q"&amp;MONTH(W3)/3</f>
        <v>2024Q4</v>
      </c>
      <c r="X4" s="819" t="str" cm="1">
        <f t="array" ref="X4">YEAR(X3)&amp;INDEX(TableYtd,MONTH(X3),1)</f>
        <v>2024Sep</v>
      </c>
      <c r="Y4" s="812" t="str">
        <f>YEAR(Y3)&amp;"Q"&amp;MONTH(Y3)/3</f>
        <v>2024Q3</v>
      </c>
      <c r="Z4" s="819" t="str" cm="1">
        <f t="array" ref="Z4">YEAR(Z3)&amp;INDEX(TableYtd,MONTH(Z3),1)</f>
        <v>2024Jun</v>
      </c>
      <c r="AA4" s="812" t="str">
        <f>YEAR(AA3)&amp;"Q"&amp;MONTH(AA3)/3</f>
        <v>2024Q2</v>
      </c>
      <c r="AB4" s="812" t="str">
        <f>YEAR(AB3)&amp;"Q"&amp;MONTH(AB3)/3</f>
        <v>2024Q1</v>
      </c>
      <c r="AC4" s="812"/>
      <c r="AD4" s="819" t="str" cm="1">
        <f t="array" ref="AD4">YEAR(AD3)&amp;INDEX(TableYtd,MONTH(AD3),1)</f>
        <v>2023Dec</v>
      </c>
      <c r="AE4" s="812" t="str">
        <f>YEAR(AE3)&amp;"Q"&amp;MONTH(AE3)/3</f>
        <v>2023Q4</v>
      </c>
      <c r="AF4" s="819" t="str" cm="1">
        <f t="array" ref="AF4">YEAR(AF3)&amp;INDEX(TableYtd,MONTH(AF3),1)</f>
        <v>2023Sep</v>
      </c>
      <c r="AG4" s="812" t="str">
        <f>YEAR(AG3)&amp;"Q"&amp;MONTH(AG3)/3</f>
        <v>2023Q3</v>
      </c>
      <c r="AH4" s="819" t="str" cm="1">
        <f t="array" ref="AH4">YEAR(AH3)&amp;INDEX(TableYtd,MONTH(AH3),1)</f>
        <v>2023Jun</v>
      </c>
      <c r="AI4" s="812" t="str">
        <f>YEAR(AI3)&amp;"Q"&amp;MONTH(AI3)/3</f>
        <v>2023Q2</v>
      </c>
      <c r="AJ4" s="812" t="str">
        <f>YEAR(AJ3)&amp;"Q"&amp;MONTH(AJ3)/3</f>
        <v>2023Q1</v>
      </c>
    </row>
    <row r="5" spans="1:36" ht="14.25" customHeight="1" collapsed="1" x14ac:dyDescent="0.2">
      <c r="A5" s="134"/>
      <c r="C5" s="181"/>
    </row>
    <row r="6" spans="1:36" ht="17.399999999999999" x14ac:dyDescent="0.3">
      <c r="A6" s="134"/>
      <c r="C6" s="77" t="s">
        <v>174</v>
      </c>
      <c r="D6"/>
      <c r="E6" s="90">
        <f>DateRef</f>
        <v>46112</v>
      </c>
      <c r="F6" s="91"/>
      <c r="N6" s="77" t="s">
        <v>185</v>
      </c>
    </row>
    <row r="7" spans="1:36" ht="15.6" x14ac:dyDescent="0.3">
      <c r="A7" s="3"/>
      <c r="C7" s="100" t="s">
        <v>168</v>
      </c>
      <c r="D7"/>
      <c r="E7" s="141"/>
      <c r="F7" s="91"/>
    </row>
    <row r="8" spans="1:36" ht="27.75" customHeight="1" x14ac:dyDescent="0.25">
      <c r="A8" s="135" t="s">
        <v>150</v>
      </c>
      <c r="B8" s="2"/>
      <c r="C8" s="4" t="s">
        <v>107</v>
      </c>
      <c r="D8" s="46"/>
      <c r="E8" s="199" t="str">
        <f>"AuM 
"&amp;TEXT(DAY(E$1),"00")&amp;"."&amp;TEXT(MONTH(E$1),"00")&amp;"."&amp;YEAR(E$1)</f>
        <v>AuM 
31.03.2026</v>
      </c>
      <c r="F8" s="199" t="str">
        <f>"AuM 
"&amp;TEXT(DAY(F$1),"00")&amp;"."&amp;TEXT(MONTH(F$1),"00")&amp;"."&amp;YEAR(F$1)</f>
        <v>AuM 
31.03.2025</v>
      </c>
      <c r="G8" s="195" t="s">
        <v>103</v>
      </c>
      <c r="H8" s="199" t="str">
        <f>"AuM 
"&amp;TEXT(DAY(H$1),"00")&amp;"."&amp;TEXT(MONTH(H$1),"00")&amp;"."&amp;YEAR(H$1)</f>
        <v>AuM 
31.12.2025</v>
      </c>
      <c r="I8" s="199" t="s">
        <v>104</v>
      </c>
      <c r="K8" s="38" t="str">
        <f>"AuM 
"&amp;TEXT(DAY(K$1),"00")&amp;"."&amp;TEXT(MONTH(K$1),"00")&amp;"."&amp;YEAR(K$1)</f>
        <v>AuM 
31.12.2025</v>
      </c>
      <c r="L8" s="38" t="str">
        <f>"%ch. 
/ "&amp;TEXT(DAY(K$1),"00")&amp;"."&amp;TEXT(MONTH(K$1),"00")&amp;"."&amp;YEAR(K$1)</f>
        <v>%ch. 
/ 31.12.2025</v>
      </c>
      <c r="N8" s="199" t="str">
        <f>"AuM 
"&amp;TEXT(DAY(N$1),"00")&amp;"."&amp;TEXT(MONTH(N$1),"00")&amp;"."&amp;YEAR(N$1)</f>
        <v>AuM 
31.12.2025</v>
      </c>
      <c r="P8" s="199" t="str">
        <f>"AuM 
"&amp;TEXT(DAY(P$1),"00")&amp;"."&amp;TEXT(MONTH(P$1),"00")&amp;"."&amp;YEAR(P$1)</f>
        <v>AuM 
30.09.2025</v>
      </c>
      <c r="R8" s="199" t="str">
        <f>"AuM 
"&amp;TEXT(DAY(R$1),"00")&amp;"."&amp;TEXT(MONTH(R$1),"00")&amp;"."&amp;YEAR(R$1)</f>
        <v>AuM 
30.06.2025</v>
      </c>
      <c r="T8" s="199" t="str">
        <f>"AuM 
"&amp;TEXT(DAY(T$1),"00")&amp;"."&amp;TEXT(MONTH(T$1),"00")&amp;"."&amp;YEAR(T$1)</f>
        <v>AuM 
31.03.2025</v>
      </c>
      <c r="V8" s="199" t="str">
        <f>"AuM 
"&amp;TEXT(DAY(V$1),"00")&amp;"."&amp;TEXT(MONTH(V$1),"00")&amp;"."&amp;YEAR(V$1)</f>
        <v>AuM 
31.12.2024</v>
      </c>
      <c r="X8" s="199" t="str">
        <f>"AuM 
"&amp;TEXT(DAY(X$1),"00")&amp;"."&amp;TEXT(MONTH(X$1),"00")&amp;"."&amp;YEAR(X$1)</f>
        <v>AuM 
30.09.2024</v>
      </c>
      <c r="Z8" s="199" t="str">
        <f>"AuM 
"&amp;TEXT(DAY(Z$1),"00")&amp;"."&amp;TEXT(MONTH(Z$1),"00")&amp;"."&amp;YEAR(Z$1)</f>
        <v>AuM 
30.06.2024</v>
      </c>
      <c r="AB8" s="199" t="str">
        <f>"AuM 
"&amp;TEXT(DAY(AB$1),"00")&amp;"."&amp;TEXT(MONTH(AB$1),"00")&amp;"."&amp;YEAR(AB$1)</f>
        <v>AuM 
31.03.2024</v>
      </c>
      <c r="AC8" s="339"/>
      <c r="AD8" s="199" t="str">
        <f>"AuM 
"&amp;TEXT(DAY(AD$1),"00")&amp;"."&amp;TEXT(MONTH(AD$1),"00")&amp;"."&amp;YEAR(AD$1)</f>
        <v>AuM 
31.12.2023</v>
      </c>
      <c r="AF8" s="199" t="str">
        <f>"AuM 
"&amp;TEXT(DAY(AF$1),"00")&amp;"."&amp;TEXT(MONTH(AF$1),"00")&amp;"."&amp;YEAR(AF$1)</f>
        <v>AuM 
30.09.2023</v>
      </c>
      <c r="AH8" s="199" t="str">
        <f>"AuM 
"&amp;TEXT(DAY(AH$1),"00")&amp;"."&amp;TEXT(MONTH(AH$1),"00")&amp;"."&amp;YEAR(AH$1)</f>
        <v>AuM 
30.06.2023</v>
      </c>
      <c r="AI8" s="344"/>
      <c r="AJ8" s="199" t="str">
        <f>"AuM 
"&amp;TEXT(DAY(AJ$1),"00")&amp;"."&amp;TEXT(MONTH(AJ$1),"00")&amp;"."&amp;YEAR(AJ$1)</f>
        <v>AuM 
31.03.2023</v>
      </c>
    </row>
    <row r="9" spans="1:36" ht="15" customHeight="1" x14ac:dyDescent="0.2">
      <c r="A9" s="3" t="s">
        <v>461</v>
      </c>
      <c r="B9" s="2"/>
      <c r="C9" s="103" t="s">
        <v>111</v>
      </c>
      <c r="D9" s="46"/>
      <c r="E9" s="200">
        <v>627363005056.42175</v>
      </c>
      <c r="F9" s="200">
        <v>563801640214.54883</v>
      </c>
      <c r="G9" s="201">
        <f>IF(ISERROR($E9*F9),"NM",IF($E9*F9&gt;0,IF(E9/F9&gt;2,"NM",E9/F9-1),"NM"))</f>
        <v>0.11273710523028146</v>
      </c>
      <c r="H9" s="200">
        <v>623454933622.599</v>
      </c>
      <c r="I9" s="201">
        <f>IF(ISERROR($E9*H9),"NM",IF($E9*H9&gt;0,IF(E9/H9&gt;2,"NM",E9/H9-1),"NM"))</f>
        <v>6.2684104705288402E-3</v>
      </c>
      <c r="K9" s="95" t="s">
        <v>530</v>
      </c>
      <c r="L9" s="101" t="str">
        <f t="shared" ref="L9:L22" si="0">IF(ISERROR($E9*K9),"NM",IF($E9*K9&gt;0,IF(E9/K9&gt;2,"NM",E9/K9-1),"NM"))</f>
        <v>NM</v>
      </c>
      <c r="N9" s="200">
        <v>623454933622.599</v>
      </c>
      <c r="P9" s="200">
        <v>591745399336.2738</v>
      </c>
      <c r="R9" s="200">
        <v>555942125310.396</v>
      </c>
      <c r="T9" s="200">
        <v>563801640214.54883</v>
      </c>
      <c r="V9" s="200">
        <v>544262050061.1521</v>
      </c>
      <c r="X9" s="200">
        <v>526607065670.4035</v>
      </c>
      <c r="Z9" s="200">
        <v>514793548007.46368</v>
      </c>
      <c r="AB9" s="200">
        <v>504814300459.81677</v>
      </c>
      <c r="AC9" s="220"/>
      <c r="AD9" s="200">
        <v>466750052470.21222</v>
      </c>
      <c r="AF9" s="200">
        <v>442898410203.49939</v>
      </c>
      <c r="AH9" s="200">
        <v>439132975150.36407</v>
      </c>
      <c r="AJ9" s="200">
        <v>425449371327.36035</v>
      </c>
    </row>
    <row r="10" spans="1:36" ht="12" x14ac:dyDescent="0.25">
      <c r="A10" s="3" t="s">
        <v>462</v>
      </c>
      <c r="B10" s="31"/>
      <c r="C10" s="103" t="s">
        <v>112</v>
      </c>
      <c r="D10" s="47"/>
      <c r="E10" s="200">
        <v>298155602031.43304</v>
      </c>
      <c r="F10" s="200">
        <v>271247502588.125</v>
      </c>
      <c r="G10" s="201">
        <f t="shared" ref="G10:G22" si="1">IF(ISERROR($E10*F10),"NM",IF($E10*F10&gt;0,IF(E10/F10&gt;2,"NM",E10/F10-1),"NM"))</f>
        <v>9.9201279962258582E-2</v>
      </c>
      <c r="H10" s="200">
        <v>285938135285.01691</v>
      </c>
      <c r="I10" s="201">
        <f t="shared" ref="I10:I22" si="2">IF(ISERROR($E10*H10),"NM",IF($E10*H10&gt;0,IF(E10/H10&gt;2,"NM",E10/H10-1),"NM"))</f>
        <v>4.272765762509434E-2</v>
      </c>
      <c r="K10" s="95" t="s">
        <v>530</v>
      </c>
      <c r="L10" s="101" t="str">
        <f t="shared" si="0"/>
        <v>NM</v>
      </c>
      <c r="N10" s="200">
        <v>285938135285.01691</v>
      </c>
      <c r="P10" s="200">
        <v>280285048585.67474</v>
      </c>
      <c r="R10" s="200">
        <v>270201024410.61035</v>
      </c>
      <c r="T10" s="200">
        <v>271247502588.125</v>
      </c>
      <c r="V10" s="200">
        <v>274470900905.77042</v>
      </c>
      <c r="X10" s="200">
        <v>273745886396.56006</v>
      </c>
      <c r="Z10" s="200">
        <v>282383696599.45984</v>
      </c>
      <c r="AB10" s="200">
        <v>279788883679.65326</v>
      </c>
      <c r="AC10" s="220"/>
      <c r="AD10" s="200">
        <v>279437843957.2182</v>
      </c>
      <c r="AF10" s="200">
        <v>273818904677.50159</v>
      </c>
      <c r="AH10" s="200">
        <v>283963417508.90063</v>
      </c>
      <c r="AI10" s="345"/>
      <c r="AJ10" s="200">
        <v>286019705146.13531</v>
      </c>
    </row>
    <row r="11" spans="1:36" x14ac:dyDescent="0.2">
      <c r="A11" s="3" t="s">
        <v>463</v>
      </c>
      <c r="B11" s="31"/>
      <c r="C11" s="103" t="s">
        <v>113</v>
      </c>
      <c r="D11" s="103"/>
      <c r="E11" s="200">
        <v>776634406037.13049</v>
      </c>
      <c r="F11" s="200">
        <v>758861655387.47937</v>
      </c>
      <c r="G11" s="201">
        <f t="shared" si="1"/>
        <v>2.342027762698895E-2</v>
      </c>
      <c r="H11" s="200">
        <v>761029423552.46558</v>
      </c>
      <c r="I11" s="201">
        <f t="shared" si="2"/>
        <v>2.050509744001916E-2</v>
      </c>
      <c r="K11" s="95" t="s">
        <v>530</v>
      </c>
      <c r="L11" s="101" t="str">
        <f t="shared" si="0"/>
        <v>NM</v>
      </c>
      <c r="N11" s="200">
        <v>761029423552.46558</v>
      </c>
      <c r="P11" s="200">
        <v>742102019710.41382</v>
      </c>
      <c r="R11" s="200">
        <v>737086808529.75903</v>
      </c>
      <c r="T11" s="200">
        <v>758861655387.47937</v>
      </c>
      <c r="V11" s="200">
        <v>747292927642.25134</v>
      </c>
      <c r="X11" s="200">
        <v>732356014858.11487</v>
      </c>
      <c r="Z11" s="200">
        <v>706442921583.06763</v>
      </c>
      <c r="AB11" s="200">
        <v>699762186037.66614</v>
      </c>
      <c r="AC11" s="220"/>
      <c r="AD11" s="200">
        <v>655962815246.11609</v>
      </c>
      <c r="AF11" s="200">
        <v>624123284025.93848</v>
      </c>
      <c r="AH11" s="200">
        <v>621384264906.65088</v>
      </c>
      <c r="AI11" s="283"/>
      <c r="AJ11" s="200">
        <v>616104010489.38782</v>
      </c>
    </row>
    <row r="12" spans="1:36" ht="12" x14ac:dyDescent="0.25">
      <c r="A12" s="3"/>
      <c r="B12" s="31"/>
      <c r="C12" s="103" t="s">
        <v>272</v>
      </c>
      <c r="D12" s="116"/>
      <c r="E12" s="200">
        <f>SUM(E13:E15)</f>
        <v>104630086001.38986</v>
      </c>
      <c r="F12" s="200">
        <f>SUM(F13:F15)</f>
        <v>110980500572.75633</v>
      </c>
      <c r="G12" s="201">
        <f t="shared" si="1"/>
        <v>-5.7220994125930069E-2</v>
      </c>
      <c r="H12" s="200">
        <f>SUM(H13:H15)</f>
        <v>105692756196.95819</v>
      </c>
      <c r="I12" s="201">
        <f t="shared" si="2"/>
        <v>-1.0054333275102079E-2</v>
      </c>
      <c r="K12" s="95">
        <f>SUM(K13:K15)</f>
        <v>0</v>
      </c>
      <c r="L12" s="101" t="str">
        <f t="shared" si="0"/>
        <v>NM</v>
      </c>
      <c r="N12" s="200">
        <f>SUM(N13:N15)</f>
        <v>105692756196.95819</v>
      </c>
      <c r="P12" s="200">
        <f>SUM(P13:P15)</f>
        <v>106485274316.40909</v>
      </c>
      <c r="R12" s="200">
        <f>SUM(R13:R15)</f>
        <v>107909130524.57388</v>
      </c>
      <c r="T12" s="200">
        <f>SUM(T13:T15)</f>
        <v>110980500572.75633</v>
      </c>
      <c r="V12" s="200">
        <f>SUM(V13:V15)</f>
        <v>114105717509.80373</v>
      </c>
      <c r="X12" s="200">
        <f>SUM(X13:X15)</f>
        <v>114059464891.80424</v>
      </c>
      <c r="Z12" s="200">
        <f>SUM(Z13:Z15)</f>
        <v>112402977609.13126</v>
      </c>
      <c r="AB12" s="200">
        <f>SUM(AB13:AB15)</f>
        <v>106519745671.85222</v>
      </c>
      <c r="AC12" s="220"/>
      <c r="AD12" s="200">
        <f>SUM(AD13:AD15)</f>
        <v>107428789369.36719</v>
      </c>
      <c r="AF12" s="200">
        <f>SUM(AF13:AF15)</f>
        <v>124396874919.55911</v>
      </c>
      <c r="AH12" s="200">
        <f>SUM(AH13:AH15)</f>
        <v>126835264420.58032</v>
      </c>
      <c r="AI12" s="283"/>
      <c r="AJ12" s="200">
        <f>SUM(AJ13:AJ15)</f>
        <v>125489234125.03462</v>
      </c>
    </row>
    <row r="13" spans="1:36" x14ac:dyDescent="0.2">
      <c r="A13" s="3" t="s">
        <v>464</v>
      </c>
      <c r="B13" s="31"/>
      <c r="C13" s="63" t="s">
        <v>273</v>
      </c>
      <c r="D13" s="49"/>
      <c r="E13" s="202">
        <v>64681298630.480049</v>
      </c>
      <c r="F13" s="202">
        <v>64718147147.509964</v>
      </c>
      <c r="G13" s="203">
        <f t="shared" si="1"/>
        <v>-5.6936915925498433E-4</v>
      </c>
      <c r="H13" s="202">
        <v>62238518686.739967</v>
      </c>
      <c r="I13" s="203">
        <f t="shared" si="2"/>
        <v>3.9248683858224886E-2</v>
      </c>
      <c r="K13" s="170" t="s">
        <v>530</v>
      </c>
      <c r="L13" s="171" t="str">
        <f t="shared" si="0"/>
        <v>NM</v>
      </c>
      <c r="N13" s="202">
        <v>62238518686.739967</v>
      </c>
      <c r="P13" s="202">
        <v>62490708206.129974</v>
      </c>
      <c r="R13" s="202">
        <v>62984300917.360008</v>
      </c>
      <c r="T13" s="202">
        <v>64718147147.509964</v>
      </c>
      <c r="V13" s="202">
        <v>66300342746.969963</v>
      </c>
      <c r="X13" s="202">
        <v>66504928493.879967</v>
      </c>
      <c r="Z13" s="202">
        <v>66577503810.110008</v>
      </c>
      <c r="AB13" s="202">
        <v>61179547356.049995</v>
      </c>
      <c r="AC13" s="240"/>
      <c r="AD13" s="202">
        <v>62923767116.440018</v>
      </c>
      <c r="AF13" s="202">
        <v>63482532388.650047</v>
      </c>
      <c r="AH13" s="202">
        <v>65751905135.009979</v>
      </c>
      <c r="AI13" s="346"/>
      <c r="AJ13" s="202">
        <v>65992310685.550034</v>
      </c>
    </row>
    <row r="14" spans="1:36" x14ac:dyDescent="0.2">
      <c r="A14" s="3" t="s">
        <v>465</v>
      </c>
      <c r="B14" s="31"/>
      <c r="C14" s="63" t="s">
        <v>114</v>
      </c>
      <c r="D14" s="103"/>
      <c r="E14" s="202">
        <v>3153068096.1200008</v>
      </c>
      <c r="F14" s="202">
        <v>3911818899.3199987</v>
      </c>
      <c r="G14" s="203">
        <f t="shared" si="1"/>
        <v>-0.19396368357745131</v>
      </c>
      <c r="H14" s="202">
        <v>3239378516.8744006</v>
      </c>
      <c r="I14" s="203">
        <f t="shared" si="2"/>
        <v>-2.6644129515830284E-2</v>
      </c>
      <c r="K14" s="170" t="s">
        <v>530</v>
      </c>
      <c r="L14" s="171" t="str">
        <f t="shared" si="0"/>
        <v>NM</v>
      </c>
      <c r="N14" s="202">
        <v>3239378516.8744006</v>
      </c>
      <c r="P14" s="202">
        <v>3489039795.5300016</v>
      </c>
      <c r="R14" s="202">
        <v>3515844234.2099996</v>
      </c>
      <c r="T14" s="202">
        <v>3911818899.3199987</v>
      </c>
      <c r="V14" s="202">
        <v>4044836196.9400001</v>
      </c>
      <c r="X14" s="202">
        <v>4130725874.0500007</v>
      </c>
      <c r="Z14" s="202">
        <v>4309753036.9799986</v>
      </c>
      <c r="AB14" s="202">
        <v>4487659522.7600002</v>
      </c>
      <c r="AC14" s="240"/>
      <c r="AD14" s="202">
        <v>5061502815.1799984</v>
      </c>
      <c r="AF14" s="202">
        <v>25421847685.540005</v>
      </c>
      <c r="AH14" s="202">
        <v>25285226057.909981</v>
      </c>
      <c r="AI14" s="347"/>
      <c r="AJ14" s="202">
        <v>26011391011.589996</v>
      </c>
    </row>
    <row r="15" spans="1:36" ht="12" x14ac:dyDescent="0.2">
      <c r="A15" s="3" t="s">
        <v>466</v>
      </c>
      <c r="B15" s="31"/>
      <c r="C15" s="63" t="s">
        <v>115</v>
      </c>
      <c r="D15" s="46"/>
      <c r="E15" s="202">
        <v>36795719274.78981</v>
      </c>
      <c r="F15" s="202">
        <v>42350534525.926369</v>
      </c>
      <c r="G15" s="203">
        <f t="shared" si="1"/>
        <v>-0.13116281325176626</v>
      </c>
      <c r="H15" s="202">
        <v>40214858993.343826</v>
      </c>
      <c r="I15" s="203">
        <f t="shared" si="2"/>
        <v>-8.5021800502146139E-2</v>
      </c>
      <c r="K15" s="170" t="s">
        <v>530</v>
      </c>
      <c r="L15" s="171" t="str">
        <f t="shared" si="0"/>
        <v>NM</v>
      </c>
      <c r="N15" s="202">
        <v>40214858993.343826</v>
      </c>
      <c r="P15" s="202">
        <v>40505526314.749115</v>
      </c>
      <c r="R15" s="202">
        <v>41408985373.003876</v>
      </c>
      <c r="T15" s="202">
        <v>42350534525.926369</v>
      </c>
      <c r="V15" s="202">
        <v>43760538565.893768</v>
      </c>
      <c r="X15" s="202">
        <v>43423810523.874283</v>
      </c>
      <c r="Z15" s="202">
        <v>41515720762.041245</v>
      </c>
      <c r="AB15" s="202">
        <v>40852538793.042221</v>
      </c>
      <c r="AC15" s="240"/>
      <c r="AD15" s="202">
        <v>39443519437.747162</v>
      </c>
      <c r="AF15" s="202">
        <v>35492494845.369072</v>
      </c>
      <c r="AH15" s="202">
        <v>35798133227.660362</v>
      </c>
      <c r="AI15" s="348"/>
      <c r="AJ15" s="202">
        <v>33485532427.894592</v>
      </c>
    </row>
    <row r="16" spans="1:36" ht="16.5" customHeight="1" x14ac:dyDescent="0.25">
      <c r="A16" s="30" t="s">
        <v>467</v>
      </c>
      <c r="B16" s="31"/>
      <c r="C16" s="279" t="s">
        <v>477</v>
      </c>
      <c r="D16" s="103"/>
      <c r="E16" s="280">
        <v>1807133231689.2231</v>
      </c>
      <c r="F16" s="280">
        <v>1704891298762.9089</v>
      </c>
      <c r="G16" s="821">
        <f t="shared" si="1"/>
        <v>5.9969766401237523E-2</v>
      </c>
      <c r="H16" s="280">
        <v>1776115248657.0403</v>
      </c>
      <c r="I16" s="821">
        <f t="shared" si="2"/>
        <v>1.7463947261100454E-2</v>
      </c>
      <c r="K16" s="281" t="s">
        <v>530</v>
      </c>
      <c r="L16" s="282" t="str">
        <f t="shared" si="0"/>
        <v>NM</v>
      </c>
      <c r="N16" s="280">
        <v>1776115248657.0403</v>
      </c>
      <c r="P16" s="280">
        <v>1720617741948.7725</v>
      </c>
      <c r="R16" s="280">
        <v>1671139088775.3389</v>
      </c>
      <c r="T16" s="280">
        <v>1704891298762.9089</v>
      </c>
      <c r="V16" s="280">
        <v>1680131596118.9771</v>
      </c>
      <c r="X16" s="280">
        <v>1646768431816.884</v>
      </c>
      <c r="Z16" s="280">
        <v>1616023143799.1213</v>
      </c>
      <c r="AB16" s="280">
        <v>1590885115848.9893</v>
      </c>
      <c r="AC16" s="229"/>
      <c r="AD16" s="280">
        <v>1509579501042.9136</v>
      </c>
      <c r="AF16" s="280">
        <v>1465237473826.498</v>
      </c>
      <c r="AH16" s="280">
        <v>1471315921986.4966</v>
      </c>
      <c r="AI16" s="283"/>
      <c r="AJ16" s="280">
        <v>1453062321087.9185</v>
      </c>
    </row>
    <row r="17" spans="1:36" ht="15" customHeight="1" x14ac:dyDescent="0.25">
      <c r="A17" s="30" t="s">
        <v>468</v>
      </c>
      <c r="B17" s="31"/>
      <c r="C17" s="284" t="s">
        <v>478</v>
      </c>
      <c r="D17" s="103"/>
      <c r="E17" s="285">
        <v>178605500669.25</v>
      </c>
      <c r="F17" s="285">
        <v>180387683773.4501</v>
      </c>
      <c r="G17" s="737">
        <f t="shared" si="1"/>
        <v>-9.8797382776883991E-3</v>
      </c>
      <c r="H17" s="285">
        <v>179533522115.60999</v>
      </c>
      <c r="I17" s="737">
        <f t="shared" si="2"/>
        <v>-5.1690705748110855E-3</v>
      </c>
      <c r="K17" s="287" t="s">
        <v>530</v>
      </c>
      <c r="L17" s="288" t="str">
        <f t="shared" si="0"/>
        <v>NM</v>
      </c>
      <c r="N17" s="285">
        <v>179533522115.60999</v>
      </c>
      <c r="P17" s="285">
        <v>182750807563.39999</v>
      </c>
      <c r="R17" s="285">
        <v>179700776143.87</v>
      </c>
      <c r="T17" s="285">
        <v>180387683773.4501</v>
      </c>
      <c r="V17" s="285">
        <v>188068188727.23004</v>
      </c>
      <c r="X17" s="285">
        <v>185261465479.37</v>
      </c>
      <c r="Z17" s="285">
        <v>183601233252.18002</v>
      </c>
      <c r="AB17" s="285">
        <v>192837553696.13</v>
      </c>
      <c r="AC17" s="229"/>
      <c r="AD17" s="285">
        <v>211191644135.60001</v>
      </c>
      <c r="AF17" s="285">
        <v>198111746032.96997</v>
      </c>
      <c r="AH17" s="285">
        <v>192476727262.19</v>
      </c>
      <c r="AI17" s="289"/>
      <c r="AJ17" s="285">
        <v>188519030714.36005</v>
      </c>
    </row>
    <row r="18" spans="1:36" ht="15" customHeight="1" x14ac:dyDescent="0.25">
      <c r="A18" s="30" t="s">
        <v>469</v>
      </c>
      <c r="B18" s="31"/>
      <c r="C18" s="290" t="s">
        <v>479</v>
      </c>
      <c r="D18" s="103"/>
      <c r="E18" s="285">
        <v>1985738732358.4734</v>
      </c>
      <c r="F18" s="285">
        <v>1885278982536.3589</v>
      </c>
      <c r="G18" s="291">
        <f t="shared" si="1"/>
        <v>5.3286410527401573E-2</v>
      </c>
      <c r="H18" s="285">
        <v>1955648770772.6506</v>
      </c>
      <c r="I18" s="291">
        <f t="shared" si="2"/>
        <v>1.5386178763548974E-2</v>
      </c>
      <c r="K18" s="287" t="s">
        <v>530</v>
      </c>
      <c r="L18" s="292" t="str">
        <f t="shared" si="0"/>
        <v>NM</v>
      </c>
      <c r="N18" s="285">
        <v>1955648770772.6506</v>
      </c>
      <c r="P18" s="285">
        <v>1903368549512.1721</v>
      </c>
      <c r="R18" s="285">
        <v>1850839864919.209</v>
      </c>
      <c r="T18" s="285">
        <v>1885278982536.3589</v>
      </c>
      <c r="V18" s="285">
        <v>1868199784846.2065</v>
      </c>
      <c r="X18" s="285">
        <v>1832029897296.2537</v>
      </c>
      <c r="Z18" s="285">
        <v>1799624377051.3018</v>
      </c>
      <c r="AB18" s="285">
        <v>1783722669545.1191</v>
      </c>
      <c r="AC18" s="229"/>
      <c r="AD18" s="285">
        <v>1720771145178.5137</v>
      </c>
      <c r="AF18" s="285">
        <v>1663349219859.4678</v>
      </c>
      <c r="AH18" s="285">
        <v>1663792649248.686</v>
      </c>
      <c r="AI18" s="283"/>
      <c r="AJ18" s="285">
        <v>1641581351802.2783</v>
      </c>
    </row>
    <row r="19" spans="1:36" ht="12" x14ac:dyDescent="0.25">
      <c r="A19" s="30" t="s">
        <v>439</v>
      </c>
      <c r="B19" s="31"/>
      <c r="C19" s="104" t="s">
        <v>439</v>
      </c>
      <c r="D19" s="103"/>
      <c r="E19" s="207">
        <v>412589160144.1908</v>
      </c>
      <c r="F19" s="207">
        <v>361907983965.75989</v>
      </c>
      <c r="G19" s="208">
        <f t="shared" si="1"/>
        <v>0.14003884529727828</v>
      </c>
      <c r="H19" s="207">
        <v>424260940793.28888</v>
      </c>
      <c r="I19" s="208">
        <f t="shared" si="2"/>
        <v>-2.7510853644160616E-2</v>
      </c>
      <c r="K19" s="110" t="s">
        <v>530</v>
      </c>
      <c r="L19" s="111" t="str">
        <f t="shared" si="0"/>
        <v>NM</v>
      </c>
      <c r="N19" s="207">
        <v>424260940793.28888</v>
      </c>
      <c r="P19" s="207">
        <v>414059622936.63025</v>
      </c>
      <c r="R19" s="207">
        <v>416298949861.57251</v>
      </c>
      <c r="T19" s="207">
        <v>361907983965.75989</v>
      </c>
      <c r="V19" s="207">
        <v>371866583611.28998</v>
      </c>
      <c r="X19" s="207">
        <v>359515336124.71002</v>
      </c>
      <c r="Z19" s="207">
        <v>356473313722.65002</v>
      </c>
      <c r="AB19" s="207">
        <v>332422357804.55005</v>
      </c>
      <c r="AC19" s="229"/>
      <c r="AD19" s="207">
        <v>315816888391.16998</v>
      </c>
      <c r="AF19" s="207">
        <v>309955173475.96008</v>
      </c>
      <c r="AH19" s="207">
        <v>297524252204.77991</v>
      </c>
      <c r="AI19" s="283"/>
      <c r="AJ19" s="207">
        <v>292280230427.7901</v>
      </c>
    </row>
    <row r="20" spans="1:36" ht="12" x14ac:dyDescent="0.2">
      <c r="A20" s="30" t="s">
        <v>110</v>
      </c>
      <c r="B20" s="31"/>
      <c r="C20" s="150" t="s">
        <v>110</v>
      </c>
      <c r="D20" s="103"/>
      <c r="E20" s="209">
        <v>2398327892502.6641</v>
      </c>
      <c r="F20" s="209">
        <v>2247186966502.1187</v>
      </c>
      <c r="G20" s="210">
        <f t="shared" si="1"/>
        <v>6.7257833128057554E-2</v>
      </c>
      <c r="H20" s="209">
        <v>2379909711565.9395</v>
      </c>
      <c r="I20" s="210">
        <f t="shared" si="2"/>
        <v>7.7390250761260049E-3</v>
      </c>
      <c r="K20" s="112" t="s">
        <v>530</v>
      </c>
      <c r="L20" s="118" t="str">
        <f t="shared" si="0"/>
        <v>NM</v>
      </c>
      <c r="N20" s="209">
        <v>2379909711565.9395</v>
      </c>
      <c r="P20" s="209">
        <v>2317428172448.8022</v>
      </c>
      <c r="R20" s="209">
        <v>2267138814780.7813</v>
      </c>
      <c r="T20" s="209">
        <v>2247186966502.1187</v>
      </c>
      <c r="V20" s="209">
        <v>2240066368457.4966</v>
      </c>
      <c r="X20" s="209">
        <v>2191545233420.9636</v>
      </c>
      <c r="Z20" s="209">
        <v>2156097690773.9517</v>
      </c>
      <c r="AB20" s="209">
        <v>2116145027349.6692</v>
      </c>
      <c r="AC20" s="222"/>
      <c r="AD20" s="209">
        <v>2036588033569.6836</v>
      </c>
      <c r="AF20" s="209">
        <v>1973304393335.4277</v>
      </c>
      <c r="AH20" s="209">
        <v>1961316901453.4658</v>
      </c>
      <c r="AI20" s="349"/>
      <c r="AJ20" s="209">
        <v>1933861582230.0684</v>
      </c>
    </row>
    <row r="21" spans="1:36" x14ac:dyDescent="0.2">
      <c r="A21" s="30" t="s">
        <v>119</v>
      </c>
      <c r="B21" s="31"/>
      <c r="C21" s="139" t="s">
        <v>116</v>
      </c>
      <c r="D21" s="140"/>
      <c r="E21" s="211">
        <v>2183218763005.8262</v>
      </c>
      <c r="F21" s="211">
        <v>2034130746790.0403</v>
      </c>
      <c r="G21" s="212">
        <f t="shared" si="1"/>
        <v>7.3293231740906739E-2</v>
      </c>
      <c r="H21" s="211">
        <v>2163224717136.5496</v>
      </c>
      <c r="I21" s="212">
        <f t="shared" si="2"/>
        <v>9.2427040569982299E-3</v>
      </c>
      <c r="K21" s="151" t="s">
        <v>530</v>
      </c>
      <c r="L21" s="152" t="str">
        <f t="shared" si="0"/>
        <v>NM</v>
      </c>
      <c r="M21" s="1"/>
      <c r="N21" s="211">
        <v>2163224717136.5496</v>
      </c>
      <c r="P21" s="211">
        <v>2098115521320.6577</v>
      </c>
      <c r="R21" s="211">
        <v>2050728012163.6152</v>
      </c>
      <c r="T21" s="211">
        <v>2034130746790.0403</v>
      </c>
      <c r="V21" s="211">
        <v>2018497940384.2974</v>
      </c>
      <c r="X21" s="211">
        <v>1972562958924.2534</v>
      </c>
      <c r="Z21" s="211">
        <v>1937658057005.0935</v>
      </c>
      <c r="AB21" s="211">
        <v>1891665804564.3889</v>
      </c>
      <c r="AC21" s="350"/>
      <c r="AD21" s="211">
        <v>1794111860643.1135</v>
      </c>
      <c r="AF21" s="211">
        <v>1744750109891.6975</v>
      </c>
      <c r="AH21" s="211">
        <v>1738081600695.6968</v>
      </c>
      <c r="AI21" s="351"/>
      <c r="AJ21" s="211">
        <v>1716267505226.1887</v>
      </c>
    </row>
    <row r="22" spans="1:36" x14ac:dyDescent="0.2">
      <c r="A22" s="30" t="s">
        <v>120</v>
      </c>
      <c r="B22" s="31"/>
      <c r="C22" s="139" t="s">
        <v>117</v>
      </c>
      <c r="D22" s="140"/>
      <c r="E22" s="211">
        <v>215109129496.83997</v>
      </c>
      <c r="F22" s="211">
        <v>213056219712.08023</v>
      </c>
      <c r="G22" s="212">
        <f t="shared" si="1"/>
        <v>9.6355308825717412E-3</v>
      </c>
      <c r="H22" s="211">
        <v>216684994429.38895</v>
      </c>
      <c r="I22" s="212">
        <f t="shared" si="2"/>
        <v>-7.272607578105772E-3</v>
      </c>
      <c r="K22" s="151" t="s">
        <v>530</v>
      </c>
      <c r="L22" s="152" t="str">
        <f t="shared" si="0"/>
        <v>NM</v>
      </c>
      <c r="M22" s="1"/>
      <c r="N22" s="211">
        <v>216684994429.38895</v>
      </c>
      <c r="P22" s="211">
        <v>219312651128.14392</v>
      </c>
      <c r="R22" s="211">
        <v>216410802617.16531</v>
      </c>
      <c r="T22" s="211">
        <v>213056219712.08023</v>
      </c>
      <c r="V22" s="211">
        <v>221568428073.20013</v>
      </c>
      <c r="X22" s="211">
        <v>218982274496.70999</v>
      </c>
      <c r="Z22" s="211">
        <v>218439633768.86008</v>
      </c>
      <c r="AB22" s="211">
        <v>224479222785.28</v>
      </c>
      <c r="AC22" s="350"/>
      <c r="AD22" s="211">
        <v>242476172926.57013</v>
      </c>
      <c r="AF22" s="211">
        <v>228554283443.72983</v>
      </c>
      <c r="AH22" s="211">
        <v>223235300757.76987</v>
      </c>
      <c r="AI22" s="352"/>
      <c r="AJ22" s="211">
        <v>217594077003.88013</v>
      </c>
    </row>
    <row r="23" spans="1:36" hidden="1" outlineLevel="1" x14ac:dyDescent="0.2">
      <c r="A23" s="30"/>
      <c r="B23" s="2"/>
      <c r="C23" s="39"/>
      <c r="D23" s="46"/>
      <c r="E23" s="157">
        <f>ROUND(E20-SUM(E9:E12,E17,E19),2)</f>
        <v>350132562.85000002</v>
      </c>
      <c r="F23" s="157">
        <f>ROUND(F20-SUM(F9:F12,F17,F19),2)</f>
        <v>0</v>
      </c>
      <c r="H23" s="157">
        <f>ROUND(H20-SUM(H9:H12,H17,H19),2)</f>
        <v>0</v>
      </c>
      <c r="K23" s="157" t="e">
        <f>ROUND(K20-SUM(K9:K12,K17,K19)+K12-SUM(K13:K15)+K20-(K16+K17+K19)+K20-(K18+K19),3)</f>
        <v>#VALUE!</v>
      </c>
      <c r="N23" s="157">
        <f>ROUND(N20-SUM(N9:N12,N17,N19),2)</f>
        <v>0</v>
      </c>
      <c r="P23" s="157">
        <f>ROUND(P20-SUM(P9:P12,P17,P19),2)</f>
        <v>0</v>
      </c>
      <c r="R23" s="157">
        <f>ROUND(R20-SUM(R9:R12,R17,R19),2)</f>
        <v>0</v>
      </c>
      <c r="T23" s="157">
        <f>ROUND(T20-SUM(T9:T12,T17,T19),2)</f>
        <v>0</v>
      </c>
      <c r="V23" s="157">
        <f>ROUND(V20-SUM(V9:V12,V17,V19),2)</f>
        <v>0</v>
      </c>
      <c r="X23" s="157">
        <f>ROUND(X20-SUM(X9:X12,X17,X19),2)</f>
        <v>0</v>
      </c>
      <c r="Z23" s="157">
        <f>ROUND(Z20-SUM(Z9:Z12,Z17,Z19),2)</f>
        <v>0</v>
      </c>
      <c r="AB23" s="157">
        <f>ROUND(AB20-SUM(AB9:AB12,AB17,AB19),2)</f>
        <v>0</v>
      </c>
      <c r="AC23" s="157"/>
      <c r="AD23" s="157">
        <f>ROUND(AD20-SUM(AD9:AD12,AD17,AD19),2)</f>
        <v>0</v>
      </c>
      <c r="AF23" s="157">
        <f>ROUND(AF20-SUM(AF9:AF12,AF17,AF19),2)</f>
        <v>0</v>
      </c>
      <c r="AH23" s="157">
        <f>ROUND(AH20-SUM(AH9:AH12,AH17,AH19),2)</f>
        <v>0</v>
      </c>
      <c r="AI23" s="156"/>
      <c r="AJ23" s="157">
        <f>ROUND(AJ20-SUM(AJ9:AJ12,AJ17,AJ19),2)</f>
        <v>0</v>
      </c>
    </row>
    <row r="24" spans="1:36" collapsed="1" x14ac:dyDescent="0.2">
      <c r="A24" s="30"/>
      <c r="B24" s="2"/>
      <c r="C24" s="897" t="s">
        <v>480</v>
      </c>
      <c r="D24" s="897"/>
      <c r="E24" s="897"/>
      <c r="F24" s="897"/>
      <c r="H24" s="157"/>
      <c r="K24" s="157"/>
      <c r="N24" s="157"/>
      <c r="P24" s="157"/>
      <c r="R24" s="157"/>
      <c r="T24" s="157"/>
      <c r="V24" s="157"/>
      <c r="X24" s="157"/>
      <c r="Z24" s="157"/>
      <c r="AA24" s="157"/>
      <c r="AC24" s="157"/>
      <c r="AE24" s="157"/>
      <c r="AG24" s="157"/>
      <c r="AH24" s="182"/>
      <c r="AI24" s="156"/>
      <c r="AJ24" s="182"/>
    </row>
    <row r="25" spans="1:36" x14ac:dyDescent="0.2">
      <c r="A25" s="30"/>
      <c r="B25" s="2"/>
      <c r="D25" s="46"/>
      <c r="E25" s="157"/>
      <c r="F25" s="157"/>
      <c r="H25" s="157"/>
      <c r="K25" s="157"/>
      <c r="N25" s="157"/>
      <c r="P25" s="157"/>
      <c r="R25" s="157"/>
      <c r="T25" s="157"/>
      <c r="V25" s="157"/>
      <c r="X25" s="157"/>
      <c r="Z25" s="157"/>
      <c r="AA25" s="157"/>
      <c r="AC25" s="157"/>
      <c r="AE25" s="157"/>
      <c r="AG25" s="157"/>
      <c r="AH25" s="182"/>
      <c r="AI25" s="156"/>
      <c r="AJ25" s="182"/>
    </row>
    <row r="26" spans="1:36" ht="17.399999999999999" x14ac:dyDescent="0.3">
      <c r="A26" s="30"/>
      <c r="B26" s="2"/>
      <c r="C26" s="100" t="s">
        <v>171</v>
      </c>
      <c r="D26" s="46"/>
      <c r="N26" s="77" t="s">
        <v>185</v>
      </c>
      <c r="AH26" s="172"/>
    </row>
    <row r="27" spans="1:36" ht="36" x14ac:dyDescent="0.25">
      <c r="A27" s="136" t="s">
        <v>154</v>
      </c>
      <c r="B27" s="2"/>
      <c r="C27" s="41" t="s">
        <v>107</v>
      </c>
      <c r="D27" s="46"/>
      <c r="E27" s="218" t="str" cm="1">
        <f t="array" ref="E27">"Flows"&amp;" "&amp;"
"&amp;INDEX(TableYtd,MONTH(E$3),2)&amp;YEAR(E$3)</f>
        <v>Flows 
Q1 2026</v>
      </c>
      <c r="F27" s="218" t="str" cm="1">
        <f t="array" ref="F27">"Flows"&amp;" "&amp;"
"&amp;INDEX(TableYtd,MONTH(F$3),2)&amp;YEAR(F$3)</f>
        <v>Flows 
Q1 2025</v>
      </c>
      <c r="H27" s="218" t="str">
        <f>"Flows"&amp;" "&amp;"
"&amp;"Q"&amp;MONTH(H$3)/3&amp;" "&amp;YEAR(H$3)</f>
        <v>Flows 
Q4 2025</v>
      </c>
      <c r="I27" s="339"/>
      <c r="K27" s="42" t="str">
        <f>"Flows"&amp;" "&amp;"
"&amp;"Q"&amp;MONTH(K$3)/3&amp;" "&amp;YEAR(K$3)</f>
        <v>Flows 
Q0.333333333333333 1900</v>
      </c>
      <c r="L27" s="105"/>
      <c r="M27" s="105"/>
      <c r="N27" s="218" t="str" cm="1">
        <f t="array" ref="N27">"Flows"&amp;" "&amp;"
"&amp;INDEX(TableYtd,MONTH(N$3),2)&amp;YEAR(N$3)</f>
        <v>Flows 
FY 2025</v>
      </c>
      <c r="O27" s="218" t="str">
        <f>"Flows"&amp;" "&amp;"
"&amp;"Q"&amp;MONTH(O$3)/3&amp;" "&amp;YEAR(O$3)</f>
        <v>Flows 
Q4 2025</v>
      </c>
      <c r="P27" s="218" t="str" cm="1">
        <f t="array" ref="P27">"Flows"&amp;" "&amp;"
"&amp;INDEX(TableYtd,MONTH(P$3),2)&amp;YEAR(P$3)</f>
        <v>Flows 
9M 2025</v>
      </c>
      <c r="Q27" s="218" t="str">
        <f>"Flows"&amp;" "&amp;"
"&amp;"Q"&amp;MONTH(Q$3)/3&amp;" "&amp;YEAR(Q$3)</f>
        <v>Flows 
Q3 2025</v>
      </c>
      <c r="R27" s="218" t="str" cm="1">
        <f t="array" ref="R27">"Flows"&amp;" "&amp;"
"&amp;INDEX(TableYtd,MONTH(R$3),2)&amp;YEAR(R$3)</f>
        <v>Flows 
H1 2025</v>
      </c>
      <c r="S27" s="218" t="str">
        <f>"Flows"&amp;" "&amp;"
"&amp;"Q"&amp;MONTH(S$3)/3&amp;" "&amp;YEAR(S$3)</f>
        <v>Flows 
Q2 2025</v>
      </c>
      <c r="T27" s="218" t="str" cm="1">
        <f t="array" ref="T27">"Flows"&amp;" "&amp;"
"&amp;INDEX(TableYtd,MONTH(T$3),2)&amp;YEAR(T$3)</f>
        <v>Flows 
Q1 2025</v>
      </c>
      <c r="U27" s="339"/>
      <c r="V27" s="218" t="str" cm="1">
        <f t="array" ref="V27">"Flows"&amp;" "&amp;"
"&amp;INDEX(TableYtd,MONTH(V$3),2)&amp;YEAR(V$3)</f>
        <v>Flows 
FY 2024</v>
      </c>
      <c r="W27" s="218" t="str">
        <f>"Flows"&amp;" "&amp;"
"&amp;"Q"&amp;MONTH(W$3)/3&amp;" "&amp;YEAR(W$3)</f>
        <v>Flows 
Q4 2024</v>
      </c>
      <c r="X27" s="218" t="str" cm="1">
        <f t="array" ref="X27">"Flows"&amp;" "&amp;"
"&amp;INDEX(TableYtd,MONTH(X$3),2)&amp;YEAR(X$3)</f>
        <v>Flows 
9M 2024</v>
      </c>
      <c r="Y27" s="218" t="str">
        <f>"Flows"&amp;" "&amp;"
"&amp;"Q"&amp;MONTH(Y$3)/3&amp;" "&amp;YEAR(Y$3)</f>
        <v>Flows 
Q3 2024</v>
      </c>
      <c r="Z27" s="218" t="str" cm="1">
        <f t="array" ref="Z27">"Flows"&amp;" "&amp;"
"&amp;INDEX(TableYtd,MONTH(Z$3),2)&amp;YEAR(Z$3)</f>
        <v>Flows 
H1 2024</v>
      </c>
      <c r="AA27" s="218" t="str">
        <f>"Flows"&amp;" "&amp;"
"&amp;"Q"&amp;MONTH(AA$3)/3&amp;" "&amp;YEAR(AA$3)</f>
        <v>Flows 
Q2 2024</v>
      </c>
      <c r="AB27" s="218" t="str">
        <f>"Flows"&amp;" "&amp;"
"&amp;"Q"&amp;MONTH(AB$3)/3&amp;" "&amp;YEAR(AB$3)</f>
        <v>Flows 
Q1 2024</v>
      </c>
      <c r="AC27" s="339"/>
      <c r="AD27" s="218" t="str" cm="1">
        <f t="array" ref="AD27">"Flows"&amp;" "&amp;"
"&amp;INDEX(TableYtd,MONTH(AD$3),2)&amp;YEAR(AD$3)</f>
        <v>Flows 
FY 2023</v>
      </c>
      <c r="AE27" s="218" t="str">
        <f>"Flows"&amp;" "&amp;"
"&amp;"Q"&amp;MONTH(AE$3)/3&amp;" "&amp;YEAR(AE$3)</f>
        <v>Flows 
Q4 2023</v>
      </c>
      <c r="AF27" s="218" t="str" cm="1">
        <f t="array" ref="AF27">"Flows"&amp;" "&amp;"
"&amp;INDEX(TableYtd,MONTH(AF$3),2)&amp;YEAR(AF$3)</f>
        <v>Flows 
9M 2023</v>
      </c>
      <c r="AG27" s="218" t="str">
        <f>"Flows"&amp;" "&amp;"
"&amp;"Q"&amp;MONTH(AG$3)/3&amp;" "&amp;YEAR(AG$3)</f>
        <v>Flows 
Q3 2023</v>
      </c>
      <c r="AH27" s="218" t="str" cm="1">
        <f t="array" ref="AH27">"Flows"&amp;" "&amp;"
"&amp;INDEX(TableYtd,MONTH(AH$3),2)&amp;YEAR(AH$3)</f>
        <v>Flows 
H1 2023</v>
      </c>
      <c r="AI27" s="218" t="str">
        <f>"Flows"&amp;" "&amp;"
"&amp;"Q"&amp;MONTH(AI$3)/3&amp;" "&amp;YEAR(AI$3)</f>
        <v>Flows 
Q2 2023</v>
      </c>
      <c r="AJ27" s="218" t="str">
        <f>"Flows"&amp;" "&amp;"
"&amp;"Q"&amp;MONTH(AJ$3)/3&amp;" "&amp;YEAR(AJ$3)</f>
        <v>Flows 
Q1 2023</v>
      </c>
    </row>
    <row r="28" spans="1:36" ht="15" customHeight="1" x14ac:dyDescent="0.2">
      <c r="A28" s="3" t="s">
        <v>461</v>
      </c>
      <c r="B28" s="2"/>
      <c r="C28" s="103" t="s">
        <v>111</v>
      </c>
      <c r="D28" s="46"/>
      <c r="E28" s="213">
        <v>13398745995.3543</v>
      </c>
      <c r="F28" s="213">
        <v>26425377784.783012</v>
      </c>
      <c r="H28" s="213">
        <v>8165974019.155448</v>
      </c>
      <c r="I28" s="213"/>
      <c r="K28" s="64" t="s">
        <v>530</v>
      </c>
      <c r="L28" s="64"/>
      <c r="M28" s="64"/>
      <c r="N28" s="213">
        <v>46001076893.170898</v>
      </c>
      <c r="O28" s="213">
        <v>8165974019.155448</v>
      </c>
      <c r="P28" s="213">
        <v>37835147099.195412</v>
      </c>
      <c r="Q28" s="213">
        <v>4554115272.8347416</v>
      </c>
      <c r="R28" s="213">
        <v>33281031826.360733</v>
      </c>
      <c r="S28" s="213">
        <v>6855654041.5777006</v>
      </c>
      <c r="T28" s="213">
        <v>26425377784.783012</v>
      </c>
      <c r="U28" s="213"/>
      <c r="V28" s="213">
        <v>7337236564.774992</v>
      </c>
      <c r="W28" s="213">
        <v>7315325388.9072018</v>
      </c>
      <c r="X28" s="213">
        <v>21911175.867741093</v>
      </c>
      <c r="Y28" s="213">
        <v>-666602473.48757052</v>
      </c>
      <c r="Z28" s="213">
        <v>688513649.35532737</v>
      </c>
      <c r="AA28" s="213">
        <v>3246730723.0916457</v>
      </c>
      <c r="AB28" s="213">
        <v>-2558217073.7362933</v>
      </c>
      <c r="AC28" s="213"/>
      <c r="AD28" s="213">
        <v>2155804440.9478059</v>
      </c>
      <c r="AE28" s="213">
        <v>138085207.77794138</v>
      </c>
      <c r="AF28" s="213">
        <v>2017719233.169878</v>
      </c>
      <c r="AG28" s="213">
        <v>6999619213.7296457</v>
      </c>
      <c r="AH28" s="213">
        <v>-4981899980.5597763</v>
      </c>
      <c r="AI28" s="213">
        <v>-2124075797.2494302</v>
      </c>
      <c r="AJ28" s="213">
        <v>-2857824183.3103499</v>
      </c>
    </row>
    <row r="29" spans="1:36" ht="12" x14ac:dyDescent="0.25">
      <c r="A29" s="3" t="s">
        <v>462</v>
      </c>
      <c r="B29" s="31"/>
      <c r="C29" s="103" t="s">
        <v>112</v>
      </c>
      <c r="D29" s="47"/>
      <c r="E29" s="213">
        <v>932784859.27441454</v>
      </c>
      <c r="F29" s="213">
        <v>-1021344368.9481949</v>
      </c>
      <c r="H29" s="213">
        <v>1554984854.1495037</v>
      </c>
      <c r="I29" s="213"/>
      <c r="K29" s="64" t="s">
        <v>530</v>
      </c>
      <c r="L29" s="64"/>
      <c r="M29" s="64"/>
      <c r="N29" s="213">
        <v>3455789298.1874542</v>
      </c>
      <c r="O29" s="213">
        <v>1554984854.1495037</v>
      </c>
      <c r="P29" s="213">
        <v>1862325756.442625</v>
      </c>
      <c r="Q29" s="213">
        <v>2787786979.8741469</v>
      </c>
      <c r="R29" s="213">
        <v>-925461223.43151665</v>
      </c>
      <c r="S29" s="213">
        <v>95883145.516678259</v>
      </c>
      <c r="T29" s="213">
        <v>-1021344368.9481949</v>
      </c>
      <c r="U29" s="213"/>
      <c r="V29" s="213">
        <v>-23233651380.419025</v>
      </c>
      <c r="W29" s="213">
        <v>-948922298.57972968</v>
      </c>
      <c r="X29" s="213">
        <v>-22284729081.839336</v>
      </c>
      <c r="Y29" s="213">
        <v>-15405660515.932161</v>
      </c>
      <c r="Z29" s="213">
        <v>-6879068565.9071627</v>
      </c>
      <c r="AA29" s="213">
        <v>687273348.47659671</v>
      </c>
      <c r="AB29" s="213">
        <v>-7566341914.3837538</v>
      </c>
      <c r="AC29" s="213"/>
      <c r="AD29" s="213">
        <v>-24511281607.023338</v>
      </c>
      <c r="AE29" s="213">
        <v>-7534673295.0656624</v>
      </c>
      <c r="AF29" s="213">
        <v>-16976608311.95771</v>
      </c>
      <c r="AG29" s="213">
        <v>-5859422374.9841785</v>
      </c>
      <c r="AH29" s="213">
        <v>-11117185936.973526</v>
      </c>
      <c r="AI29" s="213">
        <v>-3914193423.6433053</v>
      </c>
      <c r="AJ29" s="213">
        <v>-7202992513.3302183</v>
      </c>
    </row>
    <row r="30" spans="1:36" x14ac:dyDescent="0.2">
      <c r="A30" s="3" t="s">
        <v>463</v>
      </c>
      <c r="B30" s="31"/>
      <c r="C30" s="103" t="s">
        <v>113</v>
      </c>
      <c r="D30" s="46"/>
      <c r="E30" s="213">
        <v>16440328257.143913</v>
      </c>
      <c r="F30" s="213">
        <v>14266609259.595287</v>
      </c>
      <c r="H30" s="213">
        <v>16188913992.506979</v>
      </c>
      <c r="I30" s="213"/>
      <c r="K30" s="64" t="s">
        <v>530</v>
      </c>
      <c r="L30" s="64"/>
      <c r="M30" s="64"/>
      <c r="N30" s="213">
        <v>39344912748.321106</v>
      </c>
      <c r="O30" s="213">
        <v>16188913992.506979</v>
      </c>
      <c r="P30" s="213">
        <v>23156014360.554081</v>
      </c>
      <c r="Q30" s="213">
        <v>2251523088.0973821</v>
      </c>
      <c r="R30" s="213">
        <v>20904491272.456738</v>
      </c>
      <c r="S30" s="213">
        <v>6637882012.8614445</v>
      </c>
      <c r="T30" s="213">
        <v>14266609259.595287</v>
      </c>
      <c r="U30" s="213"/>
      <c r="V30" s="213">
        <v>47410694897.559837</v>
      </c>
      <c r="W30" s="213">
        <v>10620382017.938988</v>
      </c>
      <c r="X30" s="213">
        <v>36790312879.62088</v>
      </c>
      <c r="Y30" s="213">
        <v>12766683948.696072</v>
      </c>
      <c r="Z30" s="213">
        <v>24023628930.924801</v>
      </c>
      <c r="AA30" s="213">
        <v>10144038616.625195</v>
      </c>
      <c r="AB30" s="213">
        <v>13879590314.299625</v>
      </c>
      <c r="AC30" s="213"/>
      <c r="AD30" s="213">
        <v>17579239651.741837</v>
      </c>
      <c r="AE30" s="213">
        <v>7441561338.7854071</v>
      </c>
      <c r="AF30" s="213">
        <v>10137678312.956417</v>
      </c>
      <c r="AG30" s="213">
        <v>7719905244.4240246</v>
      </c>
      <c r="AH30" s="213">
        <v>2417773068.5323887</v>
      </c>
      <c r="AI30" s="213">
        <v>5650007803.3039904</v>
      </c>
      <c r="AJ30" s="213">
        <v>-3232234734.7715955</v>
      </c>
    </row>
    <row r="31" spans="1:36" x14ac:dyDescent="0.2">
      <c r="A31" s="3"/>
      <c r="B31" s="31"/>
      <c r="C31" s="103" t="s">
        <v>272</v>
      </c>
      <c r="D31" s="46"/>
      <c r="E31" s="213">
        <f>SUM(E32:E34)</f>
        <v>126181924.34102869</v>
      </c>
      <c r="F31" s="213">
        <f t="shared" ref="F31:AF31" si="3">SUM(F32:F34)</f>
        <v>-2783788148.820303</v>
      </c>
      <c r="G31" s="64"/>
      <c r="H31" s="213">
        <f t="shared" si="3"/>
        <v>-1745282091.9223886</v>
      </c>
      <c r="I31" s="213"/>
      <c r="J31" s="64"/>
      <c r="K31" s="64">
        <f t="shared" si="3"/>
        <v>0</v>
      </c>
      <c r="L31" s="64"/>
      <c r="M31" s="64"/>
      <c r="N31" s="213">
        <f t="shared" si="3"/>
        <v>-7616926071.6013441</v>
      </c>
      <c r="O31" s="213">
        <f t="shared" si="3"/>
        <v>-1745282091.9223886</v>
      </c>
      <c r="P31" s="213">
        <f t="shared" si="3"/>
        <v>-5871643979.678957</v>
      </c>
      <c r="Q31" s="213">
        <f>SUM(Q32:Q34)</f>
        <v>-636457783.78485548</v>
      </c>
      <c r="R31" s="213">
        <f t="shared" si="3"/>
        <v>-5235186195.8941021</v>
      </c>
      <c r="S31" s="213">
        <f t="shared" si="3"/>
        <v>-2451398047.0737982</v>
      </c>
      <c r="T31" s="213">
        <f>SUM(T32:T34)</f>
        <v>-2783788148.820303</v>
      </c>
      <c r="U31" s="213"/>
      <c r="V31" s="213">
        <f>SUM(V32:V34)</f>
        <v>2439745085.0986228</v>
      </c>
      <c r="W31" s="213">
        <f>SUM(W32:W34)</f>
        <v>901703641.65004814</v>
      </c>
      <c r="X31" s="213">
        <f>SUM(X32:X34)</f>
        <v>1538041443.4485748</v>
      </c>
      <c r="Y31" s="213">
        <f>SUM(Y32:Y34)</f>
        <v>844514909.954229</v>
      </c>
      <c r="Z31" s="213">
        <f>SUM(Z32:Z34)</f>
        <v>693526533.49434423</v>
      </c>
      <c r="AA31" s="213">
        <f t="shared" si="3"/>
        <v>1019177770.0266929</v>
      </c>
      <c r="AB31" s="213">
        <f t="shared" si="3"/>
        <v>-325651236.53234911</v>
      </c>
      <c r="AC31" s="213"/>
      <c r="AD31" s="213">
        <f t="shared" si="3"/>
        <v>4292317363.8498082</v>
      </c>
      <c r="AE31" s="213">
        <f t="shared" si="3"/>
        <v>1889955583.3512928</v>
      </c>
      <c r="AF31" s="213">
        <f t="shared" si="3"/>
        <v>2402361780.4985161</v>
      </c>
      <c r="AG31" s="213">
        <f>SUM(AG32:AG34)</f>
        <v>-1072721291.71803</v>
      </c>
      <c r="AH31" s="213">
        <f>SUM(AH32:AH34)</f>
        <v>3475083072.2165451</v>
      </c>
      <c r="AI31" s="213">
        <f>SUM(AI32:AI34)</f>
        <v>2546486152.8042207</v>
      </c>
      <c r="AJ31" s="213">
        <f>SUM(AJ32:AJ34)</f>
        <v>928596919.41232646</v>
      </c>
    </row>
    <row r="32" spans="1:36" x14ac:dyDescent="0.2">
      <c r="A32" s="3" t="s">
        <v>464</v>
      </c>
      <c r="B32" s="31"/>
      <c r="C32" s="63" t="s">
        <v>273</v>
      </c>
      <c r="D32" s="148"/>
      <c r="E32" s="214">
        <v>3243491640.619998</v>
      </c>
      <c r="F32" s="214">
        <v>-630776976.70987284</v>
      </c>
      <c r="G32" s="1"/>
      <c r="H32" s="214">
        <v>-351073008.13000011</v>
      </c>
      <c r="I32" s="214"/>
      <c r="J32" s="167"/>
      <c r="K32" s="166" t="s">
        <v>530</v>
      </c>
      <c r="L32" s="168"/>
      <c r="M32" s="168"/>
      <c r="N32" s="214">
        <v>-1201130775.469873</v>
      </c>
      <c r="O32" s="214">
        <v>-351073008.13000011</v>
      </c>
      <c r="P32" s="214">
        <v>-850057767.33987355</v>
      </c>
      <c r="Q32" s="214">
        <v>395871503.65000021</v>
      </c>
      <c r="R32" s="214">
        <v>-1245929270.9898729</v>
      </c>
      <c r="S32" s="214">
        <v>-615152294.28000045</v>
      </c>
      <c r="T32" s="214">
        <v>-630776976.70987284</v>
      </c>
      <c r="U32" s="214"/>
      <c r="V32" s="214">
        <v>11776599.689999565</v>
      </c>
      <c r="W32" s="214">
        <v>102481251.42000014</v>
      </c>
      <c r="X32" s="214">
        <v>-90704651.729999632</v>
      </c>
      <c r="Y32" s="214">
        <v>190097192.46000007</v>
      </c>
      <c r="Z32" s="214">
        <v>-280801844.19000024</v>
      </c>
      <c r="AA32" s="214">
        <v>-87614657.600407019</v>
      </c>
      <c r="AB32" s="214">
        <v>-193187186.58959299</v>
      </c>
      <c r="AC32" s="214"/>
      <c r="AD32" s="214">
        <v>-1372343.9034042945</v>
      </c>
      <c r="AE32" s="214">
        <v>-210963273.66763416</v>
      </c>
      <c r="AF32" s="214">
        <v>209590929.7642304</v>
      </c>
      <c r="AG32" s="214">
        <v>-304574344.45975477</v>
      </c>
      <c r="AH32" s="214">
        <v>514165274.22398478</v>
      </c>
      <c r="AI32" s="214">
        <v>629192920.37835228</v>
      </c>
      <c r="AJ32" s="214">
        <v>-115027646.15436728</v>
      </c>
    </row>
    <row r="33" spans="1:36" x14ac:dyDescent="0.2">
      <c r="A33" s="3" t="s">
        <v>465</v>
      </c>
      <c r="B33" s="31"/>
      <c r="C33" s="63" t="s">
        <v>114</v>
      </c>
      <c r="D33" s="148"/>
      <c r="E33" s="214">
        <v>-175821871.6217643</v>
      </c>
      <c r="F33" s="214">
        <v>-109976085.33999999</v>
      </c>
      <c r="G33" s="1"/>
      <c r="H33" s="214">
        <v>-280938625.10829598</v>
      </c>
      <c r="I33" s="214"/>
      <c r="J33" s="167"/>
      <c r="K33" s="166" t="s">
        <v>530</v>
      </c>
      <c r="L33" s="168"/>
      <c r="M33" s="168"/>
      <c r="N33" s="214">
        <v>-871556524.06829572</v>
      </c>
      <c r="O33" s="214">
        <v>-280938625.10829598</v>
      </c>
      <c r="P33" s="214">
        <v>-590617898.9599998</v>
      </c>
      <c r="Q33" s="214">
        <v>-79959558.005069122</v>
      </c>
      <c r="R33" s="214">
        <v>-510658340.95493096</v>
      </c>
      <c r="S33" s="214">
        <v>-400682255.61493075</v>
      </c>
      <c r="T33" s="214">
        <v>-109976085.33999999</v>
      </c>
      <c r="U33" s="214"/>
      <c r="V33" s="214">
        <v>-1217066358.5752921</v>
      </c>
      <c r="W33" s="214">
        <v>-110135528.97</v>
      </c>
      <c r="X33" s="214">
        <v>-1106930829.6052921</v>
      </c>
      <c r="Y33" s="214">
        <v>-151038566.19999999</v>
      </c>
      <c r="Z33" s="214">
        <v>-955892263.40529227</v>
      </c>
      <c r="AA33" s="214">
        <v>-209503469.08544511</v>
      </c>
      <c r="AB33" s="214">
        <v>-746388794.31984699</v>
      </c>
      <c r="AC33" s="214"/>
      <c r="AD33" s="214">
        <v>-1343445204.3187537</v>
      </c>
      <c r="AE33" s="214">
        <v>-681588617.44000018</v>
      </c>
      <c r="AF33" s="214">
        <v>-661856586.87875295</v>
      </c>
      <c r="AG33" s="214">
        <v>-567005164.8382802</v>
      </c>
      <c r="AH33" s="214">
        <v>-94851422.040472463</v>
      </c>
      <c r="AI33" s="214">
        <v>-85237268.995544761</v>
      </c>
      <c r="AJ33" s="214">
        <v>-9614153.0449272543</v>
      </c>
    </row>
    <row r="34" spans="1:36" x14ac:dyDescent="0.2">
      <c r="A34" s="3" t="s">
        <v>466</v>
      </c>
      <c r="B34" s="31"/>
      <c r="C34" s="63" t="s">
        <v>115</v>
      </c>
      <c r="D34" s="169"/>
      <c r="E34" s="214">
        <v>-2941487844.6572051</v>
      </c>
      <c r="F34" s="214">
        <v>-2043035086.7704301</v>
      </c>
      <c r="G34" s="1"/>
      <c r="H34" s="214">
        <v>-1113270458.6840925</v>
      </c>
      <c r="I34" s="214"/>
      <c r="J34" s="167"/>
      <c r="K34" s="166" t="s">
        <v>530</v>
      </c>
      <c r="L34" s="168"/>
      <c r="M34" s="168"/>
      <c r="N34" s="214">
        <v>-5544238772.0631752</v>
      </c>
      <c r="O34" s="214">
        <v>-1113270458.6840925</v>
      </c>
      <c r="P34" s="214">
        <v>-4430968313.3790836</v>
      </c>
      <c r="Q34" s="214">
        <v>-952369729.42978656</v>
      </c>
      <c r="R34" s="214">
        <v>-3478598583.9492979</v>
      </c>
      <c r="S34" s="214">
        <v>-1435563497.1788671</v>
      </c>
      <c r="T34" s="214">
        <v>-2043035086.7704301</v>
      </c>
      <c r="U34" s="214"/>
      <c r="V34" s="214">
        <v>3645034843.9839153</v>
      </c>
      <c r="W34" s="214">
        <v>909357919.20004797</v>
      </c>
      <c r="X34" s="214">
        <v>2735676924.7838664</v>
      </c>
      <c r="Y34" s="214">
        <v>805456283.69422889</v>
      </c>
      <c r="Z34" s="214">
        <v>1930220641.0896368</v>
      </c>
      <c r="AA34" s="214">
        <v>1316295896.7125449</v>
      </c>
      <c r="AB34" s="214">
        <v>613924744.37709093</v>
      </c>
      <c r="AC34" s="214"/>
      <c r="AD34" s="214">
        <v>5637134912.0719662</v>
      </c>
      <c r="AE34" s="214">
        <v>2782507474.4589272</v>
      </c>
      <c r="AF34" s="214">
        <v>2854627437.6130385</v>
      </c>
      <c r="AG34" s="214">
        <v>-201141782.4199951</v>
      </c>
      <c r="AH34" s="214">
        <v>3055769220.0330329</v>
      </c>
      <c r="AI34" s="214">
        <v>2002530501.4214132</v>
      </c>
      <c r="AJ34" s="214">
        <v>1053238718.611621</v>
      </c>
    </row>
    <row r="35" spans="1:36" ht="15" customHeight="1" x14ac:dyDescent="0.25">
      <c r="A35" s="30" t="s">
        <v>467</v>
      </c>
      <c r="B35" s="31"/>
      <c r="C35" s="279" t="s">
        <v>477</v>
      </c>
      <c r="D35" s="46"/>
      <c r="E35" s="293">
        <v>30944519319.943665</v>
      </c>
      <c r="F35" s="293">
        <v>36886854526.60984</v>
      </c>
      <c r="H35" s="293">
        <v>24164590773.88953</v>
      </c>
      <c r="I35" s="353"/>
      <c r="K35" s="294" t="s">
        <v>530</v>
      </c>
      <c r="L35" s="106"/>
      <c r="M35" s="106"/>
      <c r="N35" s="293">
        <v>81184852868.078171</v>
      </c>
      <c r="O35" s="293">
        <v>24164590773.88953</v>
      </c>
      <c r="P35" s="293">
        <v>56981843236.51329</v>
      </c>
      <c r="Q35" s="293">
        <v>8956967557.0214081</v>
      </c>
      <c r="R35" s="293">
        <v>48024875679.491882</v>
      </c>
      <c r="S35" s="293">
        <v>11138021152.882025</v>
      </c>
      <c r="T35" s="293">
        <v>36886854526.60984</v>
      </c>
      <c r="U35" s="353"/>
      <c r="V35" s="293">
        <v>33954025167.014427</v>
      </c>
      <c r="W35" s="293">
        <v>17888488749.916512</v>
      </c>
      <c r="X35" s="293">
        <v>16065536417.097878</v>
      </c>
      <c r="Y35" s="293">
        <v>-2461064130.7694349</v>
      </c>
      <c r="Z35" s="293">
        <v>18526600547.867302</v>
      </c>
      <c r="AA35" s="293">
        <v>15097220458.220131</v>
      </c>
      <c r="AB35" s="293">
        <v>3429380089.6472197</v>
      </c>
      <c r="AC35" s="353"/>
      <c r="AD35" s="293">
        <v>-483920150.4839325</v>
      </c>
      <c r="AE35" s="293">
        <v>1934928834.8489733</v>
      </c>
      <c r="AF35" s="293">
        <v>-2418848985.3329086</v>
      </c>
      <c r="AG35" s="293">
        <v>7787380791.4514599</v>
      </c>
      <c r="AH35" s="293">
        <v>-10206229776.784378</v>
      </c>
      <c r="AI35" s="293">
        <v>2158224735.2154818</v>
      </c>
      <c r="AJ35" s="293">
        <v>-12364454511.999853</v>
      </c>
    </row>
    <row r="36" spans="1:36" ht="15" customHeight="1" x14ac:dyDescent="0.25">
      <c r="A36" s="30" t="s">
        <v>468</v>
      </c>
      <c r="B36" s="31"/>
      <c r="C36" s="284" t="s">
        <v>478</v>
      </c>
      <c r="D36" s="46"/>
      <c r="E36" s="293">
        <v>-2059919640.8270085</v>
      </c>
      <c r="F36" s="293">
        <v>-8677359448.6607361</v>
      </c>
      <c r="H36" s="295">
        <v>-4152563368.396965</v>
      </c>
      <c r="I36" s="353"/>
      <c r="K36" s="296" t="s">
        <v>530</v>
      </c>
      <c r="L36" s="106"/>
      <c r="M36" s="106"/>
      <c r="N36" s="295">
        <v>-11720888875.763569</v>
      </c>
      <c r="O36" s="295">
        <v>-4152563368.396965</v>
      </c>
      <c r="P36" s="295">
        <v>-7568325507.3666296</v>
      </c>
      <c r="Q36" s="295">
        <v>2077954020.4772973</v>
      </c>
      <c r="R36" s="295">
        <v>-9646279527.8439236</v>
      </c>
      <c r="S36" s="295">
        <v>-968920079.18318892</v>
      </c>
      <c r="T36" s="295">
        <v>-8677359448.6607361</v>
      </c>
      <c r="U36" s="353"/>
      <c r="V36" s="295">
        <v>-1778018561.2177029</v>
      </c>
      <c r="W36" s="295">
        <v>651538230.85147095</v>
      </c>
      <c r="X36" s="295">
        <v>-2429556792.0691872</v>
      </c>
      <c r="Y36" s="295">
        <v>104689043.99690819</v>
      </c>
      <c r="Z36" s="295">
        <v>-2534245836.0660973</v>
      </c>
      <c r="AA36" s="295">
        <v>-11218140441.956089</v>
      </c>
      <c r="AB36" s="295">
        <v>8683894605.8900051</v>
      </c>
      <c r="AC36" s="353"/>
      <c r="AD36" s="295">
        <v>19281229064.427052</v>
      </c>
      <c r="AE36" s="295">
        <v>11246286414.942348</v>
      </c>
      <c r="AF36" s="295">
        <v>8034942649.484724</v>
      </c>
      <c r="AG36" s="295">
        <v>3528646294.0647197</v>
      </c>
      <c r="AH36" s="295">
        <v>4506296355.4199877</v>
      </c>
      <c r="AI36" s="295">
        <v>2432155621.7499986</v>
      </c>
      <c r="AJ36" s="295">
        <v>2074140733.6699939</v>
      </c>
    </row>
    <row r="37" spans="1:36" ht="15" customHeight="1" x14ac:dyDescent="0.25">
      <c r="A37" s="30" t="s">
        <v>469</v>
      </c>
      <c r="B37" s="31"/>
      <c r="C37" s="290" t="s">
        <v>479</v>
      </c>
      <c r="D37" s="46"/>
      <c r="E37" s="295">
        <v>28884599679.116665</v>
      </c>
      <c r="F37" s="295">
        <v>28209495077.949112</v>
      </c>
      <c r="H37" s="295">
        <v>20012027405.492558</v>
      </c>
      <c r="I37" s="353"/>
      <c r="K37" s="296" t="s">
        <v>530</v>
      </c>
      <c r="L37" s="106"/>
      <c r="M37" s="106"/>
      <c r="N37" s="295">
        <v>69463963992.314606</v>
      </c>
      <c r="O37" s="295">
        <v>20012027405.492558</v>
      </c>
      <c r="P37" s="295">
        <v>49413517729.146637</v>
      </c>
      <c r="Q37" s="295">
        <v>11034921577.498711</v>
      </c>
      <c r="R37" s="295">
        <v>38378596151.647934</v>
      </c>
      <c r="S37" s="295">
        <v>10169101073.698835</v>
      </c>
      <c r="T37" s="295">
        <v>28209495077.949112</v>
      </c>
      <c r="U37" s="353"/>
      <c r="V37" s="295">
        <v>32176006605.796719</v>
      </c>
      <c r="W37" s="295">
        <v>18540026980.767979</v>
      </c>
      <c r="X37" s="295">
        <v>13635979625.028664</v>
      </c>
      <c r="Y37" s="295">
        <v>-2356375086.7725134</v>
      </c>
      <c r="Z37" s="295">
        <v>15992354711.801195</v>
      </c>
      <c r="AA37" s="295">
        <v>3879080016.2640419</v>
      </c>
      <c r="AB37" s="295">
        <v>12113274695.53722</v>
      </c>
      <c r="AC37" s="353"/>
      <c r="AD37" s="295">
        <v>18797308913.943115</v>
      </c>
      <c r="AE37" s="295">
        <v>13181215249.791313</v>
      </c>
      <c r="AF37" s="295">
        <v>5616093664.1517773</v>
      </c>
      <c r="AG37" s="295">
        <v>11316027085.516167</v>
      </c>
      <c r="AH37" s="295">
        <v>-5699933421.3643818</v>
      </c>
      <c r="AI37" s="295">
        <v>4590380356.9654827</v>
      </c>
      <c r="AJ37" s="295">
        <v>-10290313778.329865</v>
      </c>
    </row>
    <row r="38" spans="1:36" ht="12" x14ac:dyDescent="0.25">
      <c r="A38" s="30" t="s">
        <v>439</v>
      </c>
      <c r="B38" s="31"/>
      <c r="C38" s="104" t="s">
        <v>439</v>
      </c>
      <c r="D38" s="46"/>
      <c r="E38" s="215">
        <v>3140186655.4205523</v>
      </c>
      <c r="F38" s="215">
        <v>2925468621.539999</v>
      </c>
      <c r="H38" s="215">
        <v>913770266.23597395</v>
      </c>
      <c r="I38" s="353"/>
      <c r="K38" s="67" t="s">
        <v>530</v>
      </c>
      <c r="L38" s="106"/>
      <c r="M38" s="106"/>
      <c r="N38" s="215">
        <v>18149335326.087837</v>
      </c>
      <c r="O38" s="215">
        <v>913770266.23597395</v>
      </c>
      <c r="P38" s="215">
        <v>17235565059.851868</v>
      </c>
      <c r="Q38" s="215">
        <v>4052722188.149785</v>
      </c>
      <c r="R38" s="215">
        <v>13182842871.702082</v>
      </c>
      <c r="S38" s="215">
        <v>10257374250.162083</v>
      </c>
      <c r="T38" s="215">
        <v>2925468621.539999</v>
      </c>
      <c r="U38" s="353"/>
      <c r="V38" s="215">
        <v>23267873486.099995</v>
      </c>
      <c r="W38" s="215">
        <v>1925343121.8699985</v>
      </c>
      <c r="X38" s="215">
        <v>21342530364.229996</v>
      </c>
      <c r="Y38" s="215">
        <v>5264253576.5999994</v>
      </c>
      <c r="Z38" s="215">
        <v>16078276787.630003</v>
      </c>
      <c r="AA38" s="215">
        <v>11586923683.800003</v>
      </c>
      <c r="AB38" s="215">
        <v>4491353103.829999</v>
      </c>
      <c r="AC38" s="353"/>
      <c r="AD38" s="215">
        <v>7023308295.9900017</v>
      </c>
      <c r="AE38" s="215">
        <v>6313022712.7099981</v>
      </c>
      <c r="AF38" s="215">
        <v>710285583.28000164</v>
      </c>
      <c r="AG38" s="215">
        <v>2411811206.27</v>
      </c>
      <c r="AH38" s="215">
        <v>-1701525622.990001</v>
      </c>
      <c r="AI38" s="215">
        <v>-934167499.21999931</v>
      </c>
      <c r="AJ38" s="215">
        <v>-767358123.76999831</v>
      </c>
    </row>
    <row r="39" spans="1:36" ht="12" x14ac:dyDescent="0.25">
      <c r="A39" s="30" t="s">
        <v>110</v>
      </c>
      <c r="B39" s="31"/>
      <c r="C39" s="153" t="s">
        <v>110</v>
      </c>
      <c r="D39" s="46"/>
      <c r="E39" s="216">
        <v>32024786334.537216</v>
      </c>
      <c r="F39" s="216">
        <v>31134963699.489113</v>
      </c>
      <c r="H39" s="216">
        <v>20925797671.728531</v>
      </c>
      <c r="I39" s="354"/>
      <c r="K39" s="147" t="s">
        <v>530</v>
      </c>
      <c r="L39" s="107"/>
      <c r="M39" s="107"/>
      <c r="N39" s="216">
        <v>87613299318.402451</v>
      </c>
      <c r="O39" s="216">
        <v>20925797671.728531</v>
      </c>
      <c r="P39" s="216">
        <v>66649082788.998497</v>
      </c>
      <c r="Q39" s="216">
        <v>15087643765.648495</v>
      </c>
      <c r="R39" s="216">
        <v>51561439023.350014</v>
      </c>
      <c r="S39" s="216">
        <v>20426475323.86092</v>
      </c>
      <c r="T39" s="216">
        <v>31134963699.489113</v>
      </c>
      <c r="U39" s="354"/>
      <c r="V39" s="216">
        <v>55443880091.896713</v>
      </c>
      <c r="W39" s="216">
        <v>20465370102.637978</v>
      </c>
      <c r="X39" s="216">
        <v>34978509989.258659</v>
      </c>
      <c r="Y39" s="216">
        <v>2907878489.827486</v>
      </c>
      <c r="Z39" s="216">
        <v>32070631499.431198</v>
      </c>
      <c r="AA39" s="216">
        <v>15466003700.064045</v>
      </c>
      <c r="AB39" s="216">
        <v>16604627799.367218</v>
      </c>
      <c r="AC39" s="354"/>
      <c r="AD39" s="216">
        <v>25820617209.933117</v>
      </c>
      <c r="AE39" s="216">
        <v>19494237962.501312</v>
      </c>
      <c r="AF39" s="216">
        <v>6326379247.4317789</v>
      </c>
      <c r="AG39" s="216">
        <v>13727838291.786167</v>
      </c>
      <c r="AH39" s="216">
        <v>-7401459044.3543825</v>
      </c>
      <c r="AI39" s="216">
        <v>3656212857.7454834</v>
      </c>
      <c r="AJ39" s="216">
        <v>-11057671902.099863</v>
      </c>
    </row>
    <row r="40" spans="1:36" x14ac:dyDescent="0.2">
      <c r="A40" s="30" t="s">
        <v>119</v>
      </c>
      <c r="B40" s="31"/>
      <c r="C40" s="154" t="s">
        <v>116</v>
      </c>
      <c r="D40" s="148"/>
      <c r="E40" s="217">
        <v>34730525651.447067</v>
      </c>
      <c r="F40" s="217">
        <v>39749020260.339798</v>
      </c>
      <c r="G40" s="1"/>
      <c r="H40" s="217">
        <v>24509631148.968338</v>
      </c>
      <c r="I40" s="355"/>
      <c r="J40" s="1"/>
      <c r="K40" s="155" t="s">
        <v>530</v>
      </c>
      <c r="L40" s="149"/>
      <c r="M40" s="149"/>
      <c r="N40" s="217">
        <v>93294806670.824097</v>
      </c>
      <c r="O40" s="217">
        <v>24509631148.968338</v>
      </c>
      <c r="P40" s="217">
        <v>68746756664.180374</v>
      </c>
      <c r="Q40" s="217">
        <v>12486084895.02569</v>
      </c>
      <c r="R40" s="217">
        <v>56260671769.154724</v>
      </c>
      <c r="S40" s="217">
        <v>16511651508.814919</v>
      </c>
      <c r="T40" s="217">
        <v>39749020260.339798</v>
      </c>
      <c r="U40" s="355"/>
      <c r="V40" s="217">
        <v>55972115970.63443</v>
      </c>
      <c r="W40" s="217">
        <v>21070314118.426514</v>
      </c>
      <c r="X40" s="217">
        <v>34901801852.207855</v>
      </c>
      <c r="Y40" s="217">
        <v>3428627390.8405724</v>
      </c>
      <c r="Z40" s="217">
        <v>31473174461.36729</v>
      </c>
      <c r="AA40" s="217">
        <v>23726435067.890137</v>
      </c>
      <c r="AB40" s="217">
        <v>7746739393.4772282</v>
      </c>
      <c r="AC40" s="355"/>
      <c r="AD40" s="217">
        <v>6150221376.2260857</v>
      </c>
      <c r="AE40" s="217">
        <v>6897498963.8389988</v>
      </c>
      <c r="AF40" s="217">
        <v>-747277587.61287928</v>
      </c>
      <c r="AG40" s="217">
        <v>11276154436.231453</v>
      </c>
      <c r="AH40" s="217">
        <v>-12023432023.844378</v>
      </c>
      <c r="AI40" s="217">
        <v>-696449448.96452522</v>
      </c>
      <c r="AJ40" s="217">
        <v>-11326982574.879841</v>
      </c>
    </row>
    <row r="41" spans="1:36" x14ac:dyDescent="0.2">
      <c r="A41" s="30" t="s">
        <v>120</v>
      </c>
      <c r="B41" s="31"/>
      <c r="C41" s="154" t="s">
        <v>117</v>
      </c>
      <c r="D41" s="148"/>
      <c r="E41" s="217">
        <v>-2705739316.909863</v>
      </c>
      <c r="F41" s="217">
        <v>-8614056560.8507404</v>
      </c>
      <c r="G41" s="1"/>
      <c r="H41" s="217">
        <v>-3583833477.2397914</v>
      </c>
      <c r="I41" s="355"/>
      <c r="J41" s="1"/>
      <c r="K41" s="155" t="s">
        <v>530</v>
      </c>
      <c r="L41" s="149"/>
      <c r="M41" s="149"/>
      <c r="N41" s="217">
        <v>-5681507352.4217215</v>
      </c>
      <c r="O41" s="217">
        <v>-3583833477.2397914</v>
      </c>
      <c r="P41" s="217">
        <v>-2097673875.181942</v>
      </c>
      <c r="Q41" s="217">
        <v>2601558870.622798</v>
      </c>
      <c r="R41" s="217">
        <v>-4699232745.8047409</v>
      </c>
      <c r="S41" s="217">
        <v>3914823815.0459909</v>
      </c>
      <c r="T41" s="217">
        <v>-8614056560.8507404</v>
      </c>
      <c r="U41" s="355"/>
      <c r="V41" s="217">
        <v>-528235878.73770738</v>
      </c>
      <c r="W41" s="217">
        <v>-604944015.78852725</v>
      </c>
      <c r="X41" s="217">
        <v>76708137.050823748</v>
      </c>
      <c r="Y41" s="217">
        <v>-520748901.01309222</v>
      </c>
      <c r="Z41" s="217">
        <v>597457038.06390262</v>
      </c>
      <c r="AA41" s="217">
        <v>-8260431367.826088</v>
      </c>
      <c r="AB41" s="217">
        <v>8857888405.8899994</v>
      </c>
      <c r="AC41" s="355"/>
      <c r="AD41" s="217">
        <v>19670395833.707073</v>
      </c>
      <c r="AE41" s="217">
        <v>12596738998.66234</v>
      </c>
      <c r="AF41" s="217">
        <v>7073656835.0447321</v>
      </c>
      <c r="AG41" s="217">
        <v>2451683855.5547194</v>
      </c>
      <c r="AH41" s="217">
        <v>4621972979.4899874</v>
      </c>
      <c r="AI41" s="217">
        <v>4352662306.710001</v>
      </c>
      <c r="AJ41" s="217">
        <v>269310672.77999479</v>
      </c>
    </row>
    <row r="42" spans="1:36" hidden="1" outlineLevel="1" x14ac:dyDescent="0.2">
      <c r="A42" s="30"/>
      <c r="B42" s="2"/>
      <c r="C42" s="39"/>
      <c r="D42" s="46"/>
      <c r="E42" s="157">
        <f>ROUND(E39-SUM(E28:E31,E36,E38),2)</f>
        <v>46478283.829999998</v>
      </c>
      <c r="F42" s="157">
        <f>ROUND(F39-SUM(F28:F31,F36,F38),2)</f>
        <v>0</v>
      </c>
      <c r="H42" s="157">
        <f>ROUND(H39-SUM(H28:H31,H36,H38),2)</f>
        <v>0</v>
      </c>
      <c r="I42" s="157"/>
      <c r="K42" s="157" t="e">
        <f>ROUND(K39-SUM(K28:K31,K36,#REF!)+K31-SUM(K32:K34)+K39-(K35+K36+#REF!)+K39-(K37+#REF!),3)</f>
        <v>#VALUE!</v>
      </c>
      <c r="N42" s="157">
        <f t="shared" ref="N42:T42" si="4">ROUND(N39-SUM(N28:N31,N36,N38),2)</f>
        <v>0</v>
      </c>
      <c r="O42" s="157">
        <f t="shared" si="4"/>
        <v>0</v>
      </c>
      <c r="P42" s="157">
        <f t="shared" si="4"/>
        <v>0</v>
      </c>
      <c r="Q42" s="157">
        <f t="shared" si="4"/>
        <v>0</v>
      </c>
      <c r="R42" s="157">
        <f t="shared" si="4"/>
        <v>0</v>
      </c>
      <c r="S42" s="157">
        <f t="shared" si="4"/>
        <v>0</v>
      </c>
      <c r="T42" s="157">
        <f t="shared" si="4"/>
        <v>0</v>
      </c>
      <c r="U42" s="157"/>
      <c r="V42" s="157">
        <f t="shared" ref="V42:AJ42" si="5">ROUND(V39-SUM(V28:V31,V36,V38),2)</f>
        <v>0</v>
      </c>
      <c r="W42" s="157">
        <f t="shared" si="5"/>
        <v>0</v>
      </c>
      <c r="X42" s="157">
        <f t="shared" si="5"/>
        <v>0</v>
      </c>
      <c r="Y42" s="157">
        <f t="shared" si="5"/>
        <v>0</v>
      </c>
      <c r="Z42" s="157">
        <f t="shared" si="5"/>
        <v>0</v>
      </c>
      <c r="AA42" s="157">
        <f t="shared" si="5"/>
        <v>0</v>
      </c>
      <c r="AB42" s="157">
        <f t="shared" si="5"/>
        <v>0</v>
      </c>
      <c r="AC42" s="157"/>
      <c r="AD42" s="157">
        <f t="shared" si="5"/>
        <v>0</v>
      </c>
      <c r="AE42" s="157">
        <f t="shared" si="5"/>
        <v>0</v>
      </c>
      <c r="AF42" s="157">
        <f t="shared" si="5"/>
        <v>0</v>
      </c>
      <c r="AG42" s="157">
        <f t="shared" si="5"/>
        <v>0</v>
      </c>
      <c r="AH42" s="157">
        <f t="shared" si="5"/>
        <v>0</v>
      </c>
      <c r="AI42" s="157">
        <f t="shared" si="5"/>
        <v>0</v>
      </c>
      <c r="AJ42" s="157">
        <f t="shared" si="5"/>
        <v>0</v>
      </c>
    </row>
    <row r="43" spans="1:36" collapsed="1" x14ac:dyDescent="0.2">
      <c r="A43" s="30"/>
      <c r="B43" s="2"/>
      <c r="C43" s="897" t="s">
        <v>480</v>
      </c>
      <c r="D43" s="897"/>
      <c r="E43" s="897"/>
      <c r="F43" s="897"/>
      <c r="H43" s="157"/>
      <c r="K43" s="157"/>
      <c r="N43" s="157"/>
      <c r="P43" s="157"/>
      <c r="R43" s="157"/>
      <c r="T43" s="157"/>
      <c r="V43" s="157"/>
      <c r="X43" s="157"/>
      <c r="Z43" s="157"/>
      <c r="AA43" s="157"/>
      <c r="AC43" s="157"/>
      <c r="AE43" s="157"/>
      <c r="AG43" s="157"/>
      <c r="AH43" s="157"/>
      <c r="AJ43" s="157"/>
    </row>
    <row r="44" spans="1:36" x14ac:dyDescent="0.2">
      <c r="A44" s="30"/>
      <c r="B44" s="2"/>
      <c r="D44" s="46"/>
      <c r="E44" s="157"/>
      <c r="F44" s="157"/>
      <c r="H44" s="157"/>
      <c r="K44" s="157"/>
      <c r="N44" s="157"/>
      <c r="P44" s="157"/>
      <c r="R44" s="157"/>
      <c r="T44" s="157"/>
      <c r="V44" s="157"/>
      <c r="X44" s="157"/>
      <c r="Z44" s="157"/>
      <c r="AA44" s="157"/>
      <c r="AC44" s="157"/>
      <c r="AE44" s="157"/>
      <c r="AG44" s="157"/>
      <c r="AH44" s="157"/>
      <c r="AJ44" s="157"/>
    </row>
    <row r="45" spans="1:36" ht="34.799999999999997" x14ac:dyDescent="0.3">
      <c r="A45" s="3"/>
      <c r="C45" s="183" t="s">
        <v>178</v>
      </c>
      <c r="D45"/>
      <c r="E45" s="141"/>
      <c r="F45" s="91"/>
      <c r="N45" s="77" t="s">
        <v>185</v>
      </c>
    </row>
    <row r="46" spans="1:36" ht="15.6" x14ac:dyDescent="0.3">
      <c r="A46" s="3"/>
      <c r="C46" s="100" t="s">
        <v>168</v>
      </c>
      <c r="D46"/>
      <c r="E46" s="141"/>
      <c r="F46" s="91"/>
    </row>
    <row r="47" spans="1:36" ht="27.75" customHeight="1" x14ac:dyDescent="0.25">
      <c r="A47" s="135" t="s">
        <v>150</v>
      </c>
      <c r="B47" s="2"/>
      <c r="C47" s="4" t="s">
        <v>107</v>
      </c>
      <c r="D47" s="46"/>
      <c r="E47" s="199" t="str">
        <f>"AuM 
"&amp;TEXT(DAY(E$1),"00")&amp;"."&amp;TEXT(MONTH(E$1),"00")&amp;"."&amp;YEAR(E$1)</f>
        <v>AuM 
31.03.2026</v>
      </c>
      <c r="F47" s="199" t="str">
        <f>"AuM 
"&amp;TEXT(DAY(F$1),"00")&amp;"."&amp;TEXT(MONTH(F$1),"00")&amp;"."&amp;YEAR(F$1)</f>
        <v>AuM 
31.03.2025</v>
      </c>
      <c r="G47" s="195" t="s">
        <v>103</v>
      </c>
      <c r="H47" s="199" t="str">
        <f>"AuM 
"&amp;TEXT(DAY(H$1),"00")&amp;"."&amp;TEXT(MONTH(H$1),"00")&amp;"."&amp;YEAR(H$1)</f>
        <v>AuM 
31.12.2025</v>
      </c>
      <c r="I47" s="199" t="s">
        <v>104</v>
      </c>
      <c r="K47" s="38" t="str">
        <f>"AuM 
"&amp;TEXT(DAY(K$1),"00")&amp;"."&amp;TEXT(MONTH(K$1),"00")&amp;"."&amp;YEAR(K$1)</f>
        <v>AuM 
31.12.2025</v>
      </c>
      <c r="L47" s="38" t="str">
        <f>"%ch. 
/ "&amp;TEXT(DAY(K$1),"00")&amp;"."&amp;TEXT(MONTH(K$1),"00")&amp;"."&amp;YEAR(K$1)</f>
        <v>%ch. 
/ 31.12.2025</v>
      </c>
      <c r="N47" s="199" t="str">
        <f>"AuM 
"&amp;TEXT(DAY(N$1),"00")&amp;"."&amp;TEXT(MONTH(N$1),"00")&amp;"."&amp;YEAR(N$1)</f>
        <v>AuM 
31.12.2025</v>
      </c>
      <c r="P47" s="199" t="str">
        <f>"AuM 
"&amp;TEXT(DAY(P$1),"00")&amp;"."&amp;TEXT(MONTH(P$1),"00")&amp;"."&amp;YEAR(P$1)</f>
        <v>AuM 
30.09.2025</v>
      </c>
      <c r="R47" s="199" t="str">
        <f>"AuM 
"&amp;TEXT(DAY(R$1),"00")&amp;"."&amp;TEXT(MONTH(R$1),"00")&amp;"."&amp;YEAR(R$1)</f>
        <v>AuM 
30.06.2025</v>
      </c>
      <c r="T47" s="199" t="str">
        <f>"AuM 
"&amp;TEXT(DAY(T$1),"00")&amp;"."&amp;TEXT(MONTH(T$1),"00")&amp;"."&amp;YEAR(T$1)</f>
        <v>AuM 
31.03.2025</v>
      </c>
      <c r="V47" s="199" t="str">
        <f>"AuM 
"&amp;TEXT(DAY(V$1),"00")&amp;"."&amp;TEXT(MONTH(V$1),"00")&amp;"."&amp;YEAR(V$1)</f>
        <v>AuM 
31.12.2024</v>
      </c>
      <c r="X47" s="199" t="str">
        <f>"AuM 
"&amp;TEXT(DAY(X$1),"00")&amp;"."&amp;TEXT(MONTH(X$1),"00")&amp;"."&amp;YEAR(X$1)</f>
        <v>AuM 
30.09.2024</v>
      </c>
      <c r="Z47" s="199" t="str">
        <f>"AuM 
"&amp;TEXT(DAY(Z$1),"00")&amp;"."&amp;TEXT(MONTH(Z$1),"00")&amp;"."&amp;YEAR(Z$1)</f>
        <v>AuM 
30.06.2024</v>
      </c>
      <c r="AB47" s="199" t="str">
        <f>"AuM 
"&amp;TEXT(DAY(AB$1),"00")&amp;"."&amp;TEXT(MONTH(AB$1),"00")&amp;"."&amp;YEAR(AB$1)</f>
        <v>AuM 
31.03.2024</v>
      </c>
      <c r="AD47" s="199" t="str">
        <f>"AuM 
"&amp;TEXT(DAY(AD$1),"00")&amp;"."&amp;TEXT(MONTH(AD$1),"00")&amp;"."&amp;YEAR(AD$1)</f>
        <v>AuM 
31.12.2023</v>
      </c>
      <c r="AF47" s="199" t="str">
        <f>"AuM 
"&amp;TEXT(DAY(AF$1),"00")&amp;"."&amp;TEXT(MONTH(AF$1),"00")&amp;"."&amp;YEAR(AF$1)</f>
        <v>AuM 
30.09.2023</v>
      </c>
      <c r="AH47" s="199" t="str">
        <f>"AuM 
"&amp;TEXT(DAY(AH$1),"00")&amp;"."&amp;TEXT(MONTH(AH$1),"00")&amp;"."&amp;YEAR(AH$1)</f>
        <v>AuM 
30.06.2023</v>
      </c>
      <c r="AJ47" s="199" t="str">
        <f>"AuM 
"&amp;TEXT(DAY(AJ$1),"00")&amp;"."&amp;TEXT(MONTH(AJ$1),"00")&amp;"."&amp;YEAR(AJ$1)</f>
        <v>AuM 
31.03.2023</v>
      </c>
    </row>
    <row r="48" spans="1:36" ht="15" customHeight="1" x14ac:dyDescent="0.25">
      <c r="A48" s="30" t="s">
        <v>470</v>
      </c>
      <c r="B48" s="31"/>
      <c r="C48" s="60" t="s">
        <v>176</v>
      </c>
      <c r="D48" s="103"/>
      <c r="E48" s="205">
        <v>1159055065574.9346</v>
      </c>
      <c r="F48" s="205">
        <v>1148828917199.2419</v>
      </c>
      <c r="G48" s="206">
        <f>IF(ISERROR($E48*F48),"NM",IF($E48*F48&gt;0,IF(E48/F48&gt;2,"NM",E48/F48-1),"NM"))</f>
        <v>8.9013674904903084E-3</v>
      </c>
      <c r="H48" s="205">
        <v>1152869293017.7534</v>
      </c>
      <c r="I48" s="206">
        <f>IF(ISERROR($E48*H48),"NM",IF($E48*H48&gt;0,IF(E48/H48&gt;2,"NM",E48/H48-1),"NM"))</f>
        <v>5.3655454218832777E-3</v>
      </c>
      <c r="K48" s="108" t="s">
        <v>530</v>
      </c>
      <c r="L48" s="109" t="str">
        <f t="shared" ref="L48:L65" si="6">IF(ISERROR($E48*K48),"NM",IF($E48*K48&gt;0,IF(E48/K48&gt;2,"NM",E48/K48-1),"NM"))</f>
        <v>NM</v>
      </c>
      <c r="N48" s="205">
        <v>1152869293017.7534</v>
      </c>
      <c r="P48" s="205">
        <v>1133186349265.1182</v>
      </c>
      <c r="R48" s="205">
        <v>1117708225012.1235</v>
      </c>
      <c r="T48" s="205">
        <v>1148828917199.2419</v>
      </c>
      <c r="V48" s="205">
        <v>1147587075139.5269</v>
      </c>
      <c r="X48" s="205">
        <v>1135811916109.0815</v>
      </c>
      <c r="Z48" s="205">
        <v>1121828718993.0659</v>
      </c>
      <c r="AB48" s="205">
        <v>1116568918281.2388</v>
      </c>
      <c r="AD48" s="205">
        <v>1061718134347.4158</v>
      </c>
      <c r="AF48" s="205">
        <v>1022005350529.0676</v>
      </c>
      <c r="AH48" s="205">
        <v>1033417598841.9067</v>
      </c>
      <c r="AJ48" s="205">
        <v>1027021586919.6863</v>
      </c>
    </row>
    <row r="49" spans="1:36" x14ac:dyDescent="0.2">
      <c r="A49" s="3" t="s">
        <v>471</v>
      </c>
      <c r="B49" s="31"/>
      <c r="C49" s="142" t="s">
        <v>111</v>
      </c>
      <c r="D49" s="142"/>
      <c r="E49" s="200">
        <v>204724274389.13333</v>
      </c>
      <c r="F49" s="200">
        <v>204066606401.2876</v>
      </c>
      <c r="G49" s="201">
        <f t="shared" ref="G49:G65" si="7">IF(ISERROR($E49*F49),"NM",IF($E49*F49&gt;0,IF(E49/F49&gt;2,"NM",E49/F49-1),"NM"))</f>
        <v>3.2228104315727979E-3</v>
      </c>
      <c r="H49" s="220">
        <v>204977337870.06824</v>
      </c>
      <c r="I49" s="201">
        <f t="shared" ref="I49:I65" si="8">IF(ISERROR($E49*H49),"NM",IF($E49*H49&gt;0,IF(E49/H49&gt;2,"NM",E49/H49-1),"NM"))</f>
        <v>-1.2345924850254431E-3</v>
      </c>
      <c r="K49" s="117" t="s">
        <v>530</v>
      </c>
      <c r="L49" s="101" t="str">
        <f t="shared" si="6"/>
        <v>NM</v>
      </c>
      <c r="N49" s="200">
        <v>204977337870.06824</v>
      </c>
      <c r="P49" s="200">
        <v>199832229332.4762</v>
      </c>
      <c r="R49" s="200">
        <v>195695894103.79785</v>
      </c>
      <c r="T49" s="200">
        <v>204066606401.2876</v>
      </c>
      <c r="V49" s="200">
        <v>206021290303.98889</v>
      </c>
      <c r="X49" s="200">
        <v>207930597617.5105</v>
      </c>
      <c r="Z49" s="200">
        <v>206944252914.67889</v>
      </c>
      <c r="AB49" s="200">
        <v>208519945535.31665</v>
      </c>
      <c r="AD49" s="200">
        <v>195155078792.68991</v>
      </c>
      <c r="AF49" s="200">
        <v>186673151123.26242</v>
      </c>
      <c r="AH49" s="200">
        <v>189061094106.54755</v>
      </c>
      <c r="AJ49" s="200">
        <v>183109148326.23346</v>
      </c>
    </row>
    <row r="50" spans="1:36" x14ac:dyDescent="0.2">
      <c r="A50" s="3" t="s">
        <v>472</v>
      </c>
      <c r="B50" s="31"/>
      <c r="C50" s="142" t="s">
        <v>112</v>
      </c>
      <c r="D50" s="142"/>
      <c r="E50" s="200">
        <v>276804025674.86285</v>
      </c>
      <c r="F50" s="200">
        <v>259706668198.98495</v>
      </c>
      <c r="G50" s="201">
        <f t="shared" si="7"/>
        <v>6.5833340339101598E-2</v>
      </c>
      <c r="H50" s="200">
        <v>276861590499.69696</v>
      </c>
      <c r="I50" s="201">
        <f t="shared" si="8"/>
        <v>-2.0791914375051235E-4</v>
      </c>
      <c r="K50" s="117" t="s">
        <v>530</v>
      </c>
      <c r="L50" s="101" t="str">
        <f t="shared" si="6"/>
        <v>NM</v>
      </c>
      <c r="N50" s="200">
        <v>276861590499.69696</v>
      </c>
      <c r="P50" s="200">
        <v>270992009966.35471</v>
      </c>
      <c r="R50" s="200">
        <v>261296274608.88037</v>
      </c>
      <c r="T50" s="200">
        <v>259706668198.98495</v>
      </c>
      <c r="V50" s="200">
        <v>262735566434.8103</v>
      </c>
      <c r="X50" s="200">
        <v>262504350932.48001</v>
      </c>
      <c r="Z50" s="200">
        <v>271569506020.21985</v>
      </c>
      <c r="AB50" s="200">
        <v>269526925298.57321</v>
      </c>
      <c r="AD50" s="200">
        <v>269947139738.82806</v>
      </c>
      <c r="AF50" s="200">
        <v>264905607859.93164</v>
      </c>
      <c r="AH50" s="200">
        <v>275533301952.74048</v>
      </c>
      <c r="AJ50" s="200">
        <v>278050672478.25519</v>
      </c>
    </row>
    <row r="51" spans="1:36" x14ac:dyDescent="0.2">
      <c r="A51" s="3" t="s">
        <v>473</v>
      </c>
      <c r="B51" s="31"/>
      <c r="C51" s="143" t="s">
        <v>113</v>
      </c>
      <c r="D51" s="142"/>
      <c r="E51" s="200">
        <v>677526765510.93835</v>
      </c>
      <c r="F51" s="200">
        <v>685055642598.96936</v>
      </c>
      <c r="G51" s="201">
        <f t="shared" si="7"/>
        <v>-1.0990168710190984E-2</v>
      </c>
      <c r="H51" s="200">
        <v>671030364647.98828</v>
      </c>
      <c r="I51" s="201">
        <f t="shared" si="8"/>
        <v>9.6812323334398709E-3</v>
      </c>
      <c r="K51" s="95" t="s">
        <v>530</v>
      </c>
      <c r="L51" s="101" t="str">
        <f t="shared" si="6"/>
        <v>NM</v>
      </c>
      <c r="N51" s="200">
        <v>671030364647.98828</v>
      </c>
      <c r="P51" s="200">
        <v>662362109966.28711</v>
      </c>
      <c r="R51" s="200">
        <v>660716056299.44543</v>
      </c>
      <c r="T51" s="200">
        <v>685055642598.96936</v>
      </c>
      <c r="V51" s="200">
        <v>678830218400.72778</v>
      </c>
      <c r="X51" s="200">
        <v>665376967559.09094</v>
      </c>
      <c r="Z51" s="200">
        <v>643314960058.16724</v>
      </c>
      <c r="AB51" s="200">
        <v>638522047447.34888</v>
      </c>
      <c r="AD51" s="200">
        <v>596615915815.89783</v>
      </c>
      <c r="AF51" s="200">
        <v>570426591545.87354</v>
      </c>
      <c r="AH51" s="200">
        <v>568823202782.61877</v>
      </c>
      <c r="AJ51" s="200">
        <v>565861766115.19763</v>
      </c>
    </row>
    <row r="52" spans="1:36" ht="15" customHeight="1" x14ac:dyDescent="0.25">
      <c r="A52" s="30" t="s">
        <v>466</v>
      </c>
      <c r="B52" s="31"/>
      <c r="C52" s="60" t="s">
        <v>115</v>
      </c>
      <c r="D52" s="103"/>
      <c r="E52" s="205">
        <v>36795719274.78981</v>
      </c>
      <c r="F52" s="205">
        <v>42350534525.926369</v>
      </c>
      <c r="G52" s="206">
        <f t="shared" si="7"/>
        <v>-0.13116281325176626</v>
      </c>
      <c r="H52" s="205">
        <v>40214858993.343826</v>
      </c>
      <c r="I52" s="206">
        <f t="shared" si="8"/>
        <v>-8.5021800502146139E-2</v>
      </c>
      <c r="K52" s="108" t="s">
        <v>530</v>
      </c>
      <c r="L52" s="109" t="str">
        <f t="shared" si="6"/>
        <v>NM</v>
      </c>
      <c r="N52" s="205">
        <v>40214858993.343826</v>
      </c>
      <c r="P52" s="205">
        <v>40505526314.749115</v>
      </c>
      <c r="R52" s="205">
        <v>41408985373.003876</v>
      </c>
      <c r="T52" s="205">
        <v>42350534525.926369</v>
      </c>
      <c r="V52" s="205">
        <v>43760538565.893768</v>
      </c>
      <c r="X52" s="205">
        <v>43423810523.874283</v>
      </c>
      <c r="Z52" s="205">
        <v>41515720762.041245</v>
      </c>
      <c r="AB52" s="205">
        <v>40852538793.042221</v>
      </c>
      <c r="AD52" s="205">
        <v>39443519437.747162</v>
      </c>
      <c r="AF52" s="205">
        <v>35492494845.369072</v>
      </c>
      <c r="AH52" s="205">
        <v>35798133227.660362</v>
      </c>
      <c r="AJ52" s="205">
        <v>33485532427.894592</v>
      </c>
    </row>
    <row r="53" spans="1:36" ht="15" customHeight="1" x14ac:dyDescent="0.25">
      <c r="A53" s="30" t="s">
        <v>474</v>
      </c>
      <c r="B53" s="31"/>
      <c r="C53" s="60" t="s">
        <v>274</v>
      </c>
      <c r="D53" s="103"/>
      <c r="E53" s="205">
        <v>543448080112.8988</v>
      </c>
      <c r="F53" s="205">
        <v>445081880990.91144</v>
      </c>
      <c r="G53" s="206">
        <f t="shared" si="7"/>
        <v>0.22100697270126801</v>
      </c>
      <c r="H53" s="205">
        <v>517553199442.32849</v>
      </c>
      <c r="I53" s="206">
        <f t="shared" si="8"/>
        <v>5.0033273291465452E-2</v>
      </c>
      <c r="K53" s="108" t="s">
        <v>530</v>
      </c>
      <c r="L53" s="109" t="str">
        <f t="shared" si="6"/>
        <v>NM</v>
      </c>
      <c r="N53" s="205">
        <v>517553199442.32849</v>
      </c>
      <c r="P53" s="205">
        <v>480946118367.24634</v>
      </c>
      <c r="R53" s="205">
        <v>445521733238.64075</v>
      </c>
      <c r="T53" s="205">
        <v>445081880990.91144</v>
      </c>
      <c r="V53" s="205">
        <v>418438803469.6463</v>
      </c>
      <c r="X53" s="205">
        <v>396897050815.99756</v>
      </c>
      <c r="Z53" s="205">
        <v>381791447196.92395</v>
      </c>
      <c r="AB53" s="205">
        <v>367796451895.89758</v>
      </c>
      <c r="AD53" s="205">
        <v>340432577326.12988</v>
      </c>
      <c r="AF53" s="205">
        <v>318835248377.87158</v>
      </c>
      <c r="AH53" s="205">
        <v>311063058724.00867</v>
      </c>
      <c r="AJ53" s="205">
        <v>300551500043.19806</v>
      </c>
    </row>
    <row r="54" spans="1:36" x14ac:dyDescent="0.2">
      <c r="A54" s="3" t="s">
        <v>475</v>
      </c>
      <c r="B54" s="31"/>
      <c r="C54" s="142" t="s">
        <v>177</v>
      </c>
      <c r="D54" s="142"/>
      <c r="E54" s="200">
        <v>354104346757.66321</v>
      </c>
      <c r="F54" s="200">
        <v>272410859603.08362</v>
      </c>
      <c r="G54" s="201">
        <f t="shared" si="7"/>
        <v>0.29989071387833488</v>
      </c>
      <c r="H54" s="200">
        <v>342148858599.85791</v>
      </c>
      <c r="I54" s="201">
        <f t="shared" si="8"/>
        <v>3.4942358734527224E-2</v>
      </c>
      <c r="K54" s="117" t="s">
        <v>530</v>
      </c>
      <c r="L54" s="119" t="str">
        <f t="shared" si="6"/>
        <v>NM</v>
      </c>
      <c r="N54" s="200">
        <v>342148858599.85791</v>
      </c>
      <c r="P54" s="200">
        <v>314017300440.21313</v>
      </c>
      <c r="R54" s="200">
        <v>287708594693.79102</v>
      </c>
      <c r="T54" s="200">
        <v>272410859603.08362</v>
      </c>
      <c r="V54" s="200">
        <v>268421360811.32574</v>
      </c>
      <c r="X54" s="200">
        <v>251340223786.76285</v>
      </c>
      <c r="Z54" s="200">
        <v>237297664811.8096</v>
      </c>
      <c r="AB54" s="200">
        <v>227466759812.99091</v>
      </c>
      <c r="AD54" s="200">
        <v>207289398680.84775</v>
      </c>
      <c r="AF54" s="200">
        <v>191744147615.88159</v>
      </c>
      <c r="AH54" s="200">
        <v>190311566990.34897</v>
      </c>
      <c r="AJ54" s="200">
        <v>181262294876.76407</v>
      </c>
    </row>
    <row r="55" spans="1:36" x14ac:dyDescent="0.2">
      <c r="A55" s="3" t="s">
        <v>481</v>
      </c>
      <c r="B55" s="31"/>
      <c r="C55" s="143" t="s">
        <v>217</v>
      </c>
      <c r="D55" s="142"/>
      <c r="E55" s="219">
        <v>189343733355.23563</v>
      </c>
      <c r="F55" s="219">
        <v>172671021387.82788</v>
      </c>
      <c r="G55" s="204">
        <f t="shared" ref="G55:G60" si="9">IF(ISERROR($E55*F55),"NM",IF($E55*F55&gt;0,IF(E55/F55&gt;2,"NM",E55/F55-1),"NM"))</f>
        <v>9.6557672696914176E-2</v>
      </c>
      <c r="H55" s="219">
        <v>175404340842.47061</v>
      </c>
      <c r="I55" s="204">
        <f t="shared" ref="I55:I60" si="10">IF(ISERROR($E55*H55),"NM",IF($E55*H55&gt;0,IF(E55/H55&gt;2,"NM",E55/H55-1),"NM"))</f>
        <v>7.9470054422905445E-2</v>
      </c>
      <c r="K55" s="165" t="s">
        <v>530</v>
      </c>
      <c r="L55" s="113" t="str">
        <f t="shared" si="6"/>
        <v>NM</v>
      </c>
      <c r="N55" s="219">
        <v>175404340842.47061</v>
      </c>
      <c r="P55" s="219">
        <v>166928817927.0332</v>
      </c>
      <c r="R55" s="219">
        <v>157813138544.84973</v>
      </c>
      <c r="T55" s="219">
        <v>172671021387.82788</v>
      </c>
      <c r="V55" s="219">
        <v>150017442658.32059</v>
      </c>
      <c r="X55" s="219">
        <v>145556827029.23471</v>
      </c>
      <c r="Z55" s="219">
        <v>144493782385.11438</v>
      </c>
      <c r="AB55" s="219">
        <v>140329692082.90668</v>
      </c>
      <c r="AD55" s="219">
        <v>133143178645.28212</v>
      </c>
      <c r="AF55" s="219">
        <v>127091100761.98996</v>
      </c>
      <c r="AH55" s="219">
        <v>120751491733.6597</v>
      </c>
      <c r="AJ55" s="219">
        <v>119289205166.43399</v>
      </c>
    </row>
    <row r="56" spans="1:36" ht="15" customHeight="1" x14ac:dyDescent="0.25">
      <c r="A56" s="30" t="s">
        <v>476</v>
      </c>
      <c r="B56" s="31"/>
      <c r="C56" s="60" t="s">
        <v>275</v>
      </c>
      <c r="D56" s="103"/>
      <c r="E56" s="205">
        <v>67834366726.600044</v>
      </c>
      <c r="F56" s="205">
        <v>68629966046.829971</v>
      </c>
      <c r="G56" s="206">
        <f>IF(ISERROR($E56*F56),"NM",IF($E56*F56&gt;0,IF(E56/F56&gt;2,"NM",E56/F56-1),"NM"))</f>
        <v>-1.1592593819543029E-2</v>
      </c>
      <c r="H56" s="205">
        <v>65477897203.61438</v>
      </c>
      <c r="I56" s="206">
        <f>IF(ISERROR($E56*H56),"NM",IF($E56*H56&gt;0,IF(E56/H56&gt;2,"NM",E56/H56-1),"NM"))</f>
        <v>3.5988778253795095E-2</v>
      </c>
      <c r="K56" s="108" t="s">
        <v>530</v>
      </c>
      <c r="L56" s="109" t="str">
        <f t="shared" si="6"/>
        <v>NM</v>
      </c>
      <c r="N56" s="205">
        <v>65477897203.61438</v>
      </c>
      <c r="P56" s="205">
        <v>65979748001.659973</v>
      </c>
      <c r="R56" s="205">
        <v>66500145151.570015</v>
      </c>
      <c r="T56" s="205">
        <v>68629966046.829971</v>
      </c>
      <c r="V56" s="205">
        <v>70345178943.909958</v>
      </c>
      <c r="X56" s="205">
        <v>70635654367.929977</v>
      </c>
      <c r="Z56" s="205">
        <v>70887256847.089996</v>
      </c>
      <c r="AB56" s="205">
        <v>65667206878.809998</v>
      </c>
      <c r="AD56" s="205">
        <v>67985269931.620018</v>
      </c>
      <c r="AF56" s="205">
        <v>88904380074.189911</v>
      </c>
      <c r="AH56" s="205">
        <v>91037131192.919952</v>
      </c>
      <c r="AJ56" s="205">
        <v>92003701697.139999</v>
      </c>
    </row>
    <row r="57" spans="1:36" x14ac:dyDescent="0.2">
      <c r="A57" s="3" t="s">
        <v>464</v>
      </c>
      <c r="B57" s="31"/>
      <c r="C57" s="142" t="s">
        <v>273</v>
      </c>
      <c r="D57" s="142"/>
      <c r="E57" s="200">
        <v>64681298630.480049</v>
      </c>
      <c r="F57" s="200">
        <v>64718147147.509964</v>
      </c>
      <c r="G57" s="201">
        <f>IF(ISERROR($E57*F57),"NM",IF($E57*F57&gt;0,IF(E57/F57&gt;2,"NM",E57/F57-1),"NM"))</f>
        <v>-5.6936915925498433E-4</v>
      </c>
      <c r="H57" s="200">
        <v>62238518686.739967</v>
      </c>
      <c r="I57" s="201">
        <f>IF(ISERROR($E57*H57),"NM",IF($E57*H57&gt;0,IF(E57/H57&gt;2,"NM",E57/H57-1),"NM"))</f>
        <v>3.9248683858224886E-2</v>
      </c>
      <c r="K57" s="117" t="s">
        <v>530</v>
      </c>
      <c r="L57" s="101" t="str">
        <f t="shared" si="6"/>
        <v>NM</v>
      </c>
      <c r="M57" s="95"/>
      <c r="N57" s="200">
        <v>62238518686.739967</v>
      </c>
      <c r="P57" s="200">
        <v>62490708206.129974</v>
      </c>
      <c r="R57" s="200">
        <v>62984300917.360008</v>
      </c>
      <c r="T57" s="200">
        <v>64718147147.509964</v>
      </c>
      <c r="V57" s="200">
        <v>66300342746.969963</v>
      </c>
      <c r="X57" s="200">
        <v>66504928493.879967</v>
      </c>
      <c r="Z57" s="200">
        <v>66577503810.110008</v>
      </c>
      <c r="AB57" s="200">
        <v>61179547356.049995</v>
      </c>
      <c r="AD57" s="200">
        <v>62923767116.440018</v>
      </c>
      <c r="AF57" s="200">
        <v>63482532388.650047</v>
      </c>
      <c r="AH57" s="200">
        <v>65751905135.009979</v>
      </c>
      <c r="AJ57" s="200">
        <v>65992310685.550034</v>
      </c>
    </row>
    <row r="58" spans="1:36" x14ac:dyDescent="0.2">
      <c r="A58" s="3" t="s">
        <v>465</v>
      </c>
      <c r="B58" s="31"/>
      <c r="C58" s="142" t="s">
        <v>114</v>
      </c>
      <c r="D58" s="142"/>
      <c r="E58" s="200">
        <v>3153068096.1200008</v>
      </c>
      <c r="F58" s="200">
        <v>3911818899.3199987</v>
      </c>
      <c r="G58" s="201">
        <f>IF(ISERROR($E58*F58),"NM",IF($E58*F58&gt;0,IF(E58/F58&gt;2,"NM",E58/F58-1),"NM"))</f>
        <v>-0.19396368357745131</v>
      </c>
      <c r="H58" s="200">
        <v>3239378516.8744006</v>
      </c>
      <c r="I58" s="201">
        <f>IF(ISERROR($E58*H58),"NM",IF($E58*H58&gt;0,IF(E58/H58&gt;2,"NM",E58/H58-1),"NM"))</f>
        <v>-2.6644129515830284E-2</v>
      </c>
      <c r="K58" s="117" t="s">
        <v>530</v>
      </c>
      <c r="L58" s="101" t="str">
        <f t="shared" si="6"/>
        <v>NM</v>
      </c>
      <c r="N58" s="200">
        <v>3239378516.8744006</v>
      </c>
      <c r="P58" s="200">
        <v>3489039795.5300016</v>
      </c>
      <c r="R58" s="200">
        <v>3515844234.2099996</v>
      </c>
      <c r="T58" s="200">
        <v>3911818899.3199987</v>
      </c>
      <c r="V58" s="200">
        <v>4044836196.9400001</v>
      </c>
      <c r="X58" s="200">
        <v>4130725874.0500007</v>
      </c>
      <c r="Z58" s="200">
        <v>4309753036.9799986</v>
      </c>
      <c r="AB58" s="200">
        <v>4487659522.7600002</v>
      </c>
      <c r="AD58" s="200">
        <v>5061502815.1799984</v>
      </c>
      <c r="AF58" s="200">
        <v>25421847685.540005</v>
      </c>
      <c r="AH58" s="200">
        <v>25285226057.909981</v>
      </c>
      <c r="AJ58" s="200">
        <v>26011391011.589996</v>
      </c>
    </row>
    <row r="59" spans="1:36" ht="15" customHeight="1" x14ac:dyDescent="0.25">
      <c r="A59" s="30" t="s">
        <v>467</v>
      </c>
      <c r="B59" s="31"/>
      <c r="C59" s="279" t="s">
        <v>477</v>
      </c>
      <c r="D59" s="103"/>
      <c r="E59" s="280">
        <v>1807133231689.2231</v>
      </c>
      <c r="F59" s="280">
        <v>1704891298762.9089</v>
      </c>
      <c r="G59" s="821">
        <f t="shared" si="9"/>
        <v>5.9969766401237523E-2</v>
      </c>
      <c r="H59" s="280">
        <v>1776115248657.0403</v>
      </c>
      <c r="I59" s="821">
        <f t="shared" si="10"/>
        <v>1.7463947261100454E-2</v>
      </c>
      <c r="K59" s="281" t="s">
        <v>530</v>
      </c>
      <c r="L59" s="282" t="str">
        <f t="shared" si="6"/>
        <v>NM</v>
      </c>
      <c r="N59" s="280">
        <v>1776115248657.0403</v>
      </c>
      <c r="P59" s="280">
        <v>1720617741948.7725</v>
      </c>
      <c r="R59" s="280">
        <v>1671139088775.3389</v>
      </c>
      <c r="T59" s="280">
        <v>1704891298762.9089</v>
      </c>
      <c r="V59" s="280">
        <v>1680131596118.9771</v>
      </c>
      <c r="X59" s="280">
        <v>1646768431816.884</v>
      </c>
      <c r="Z59" s="280">
        <v>1616023143799.1213</v>
      </c>
      <c r="AB59" s="280">
        <v>1590885115848.9893</v>
      </c>
      <c r="AD59" s="280">
        <v>1509579501042.9136</v>
      </c>
      <c r="AF59" s="280">
        <v>1465237473826.498</v>
      </c>
      <c r="AH59" s="280">
        <v>1471315921986.4966</v>
      </c>
      <c r="AJ59" s="280">
        <v>1453062321087.9185</v>
      </c>
    </row>
    <row r="60" spans="1:36" ht="15" customHeight="1" x14ac:dyDescent="0.25">
      <c r="A60" s="30" t="s">
        <v>468</v>
      </c>
      <c r="B60" s="31"/>
      <c r="C60" s="284" t="s">
        <v>478</v>
      </c>
      <c r="D60" s="103"/>
      <c r="E60" s="280">
        <v>178605500669.25</v>
      </c>
      <c r="F60" s="280">
        <v>180387683773.4501</v>
      </c>
      <c r="G60" s="821">
        <f t="shared" si="9"/>
        <v>-9.8797382776883991E-3</v>
      </c>
      <c r="H60" s="280">
        <v>179533522115.60999</v>
      </c>
      <c r="I60" s="821">
        <f t="shared" si="10"/>
        <v>-5.1690705748110855E-3</v>
      </c>
      <c r="K60" s="281" t="s">
        <v>530</v>
      </c>
      <c r="L60" s="282" t="str">
        <f t="shared" si="6"/>
        <v>NM</v>
      </c>
      <c r="N60" s="280">
        <v>179533522115.60999</v>
      </c>
      <c r="P60" s="280">
        <v>182750807563.39999</v>
      </c>
      <c r="R60" s="280">
        <v>179700776143.87</v>
      </c>
      <c r="T60" s="280">
        <v>180387683773.4501</v>
      </c>
      <c r="V60" s="280">
        <v>188068188727.23004</v>
      </c>
      <c r="X60" s="280">
        <v>185261465479.37</v>
      </c>
      <c r="Z60" s="280">
        <v>183601233252.18002</v>
      </c>
      <c r="AB60" s="280">
        <v>192837553696.13</v>
      </c>
      <c r="AD60" s="280">
        <v>211191644135.60001</v>
      </c>
      <c r="AF60" s="280">
        <v>198111746032.96997</v>
      </c>
      <c r="AH60" s="280">
        <v>192476727262.19</v>
      </c>
      <c r="AJ60" s="280">
        <v>188519030714.36005</v>
      </c>
    </row>
    <row r="61" spans="1:36" ht="15" customHeight="1" x14ac:dyDescent="0.25">
      <c r="A61" s="30" t="s">
        <v>469</v>
      </c>
      <c r="B61" s="31"/>
      <c r="C61" s="290" t="s">
        <v>479</v>
      </c>
      <c r="D61" s="103"/>
      <c r="E61" s="285">
        <v>1985738732358.4734</v>
      </c>
      <c r="F61" s="285">
        <v>1885278982536.3589</v>
      </c>
      <c r="G61" s="291">
        <f t="shared" si="7"/>
        <v>5.3286410527401573E-2</v>
      </c>
      <c r="H61" s="285">
        <v>1955648770772.6506</v>
      </c>
      <c r="I61" s="291">
        <f t="shared" si="8"/>
        <v>1.5386178763548974E-2</v>
      </c>
      <c r="K61" s="287" t="s">
        <v>530</v>
      </c>
      <c r="L61" s="292" t="str">
        <f t="shared" si="6"/>
        <v>NM</v>
      </c>
      <c r="N61" s="285">
        <v>1955648770772.6506</v>
      </c>
      <c r="P61" s="285">
        <v>1903368549512.1721</v>
      </c>
      <c r="R61" s="285">
        <v>1850839864919.209</v>
      </c>
      <c r="T61" s="285">
        <v>1885278982536.3589</v>
      </c>
      <c r="V61" s="285">
        <v>1868199784846.2065</v>
      </c>
      <c r="X61" s="285">
        <v>1832029897296.2537</v>
      </c>
      <c r="Z61" s="285">
        <v>1799624377051.3018</v>
      </c>
      <c r="AB61" s="285">
        <v>1783722669545.1191</v>
      </c>
      <c r="AD61" s="285">
        <v>1720771145178.5137</v>
      </c>
      <c r="AF61" s="285">
        <v>1663349219859.4678</v>
      </c>
      <c r="AH61" s="285">
        <v>1663792649248.686</v>
      </c>
      <c r="AJ61" s="285">
        <v>1641581351802.2783</v>
      </c>
    </row>
    <row r="62" spans="1:36" ht="15" customHeight="1" x14ac:dyDescent="0.25">
      <c r="A62" s="30" t="s">
        <v>439</v>
      </c>
      <c r="B62" s="31"/>
      <c r="C62" s="60" t="s">
        <v>439</v>
      </c>
      <c r="D62" s="103"/>
      <c r="E62" s="205">
        <v>412589160144.1908</v>
      </c>
      <c r="F62" s="205">
        <v>361907983965.75989</v>
      </c>
      <c r="G62" s="206">
        <f t="shared" si="7"/>
        <v>0.14003884529727828</v>
      </c>
      <c r="H62" s="205">
        <v>424260940793.28888</v>
      </c>
      <c r="I62" s="206">
        <f t="shared" si="8"/>
        <v>-2.7510853644160616E-2</v>
      </c>
      <c r="K62" s="108" t="s">
        <v>530</v>
      </c>
      <c r="L62" s="109" t="str">
        <f t="shared" si="6"/>
        <v>NM</v>
      </c>
      <c r="N62" s="205">
        <v>424260940793.28888</v>
      </c>
      <c r="P62" s="205">
        <v>414059622936.63025</v>
      </c>
      <c r="R62" s="205">
        <v>416298949861.57251</v>
      </c>
      <c r="T62" s="205">
        <v>361907983965.75989</v>
      </c>
      <c r="V62" s="205">
        <v>371866583611.28998</v>
      </c>
      <c r="X62" s="205">
        <v>359515336124.71002</v>
      </c>
      <c r="Z62" s="205">
        <v>356473313722.65002</v>
      </c>
      <c r="AB62" s="205">
        <v>332422357804.55005</v>
      </c>
      <c r="AD62" s="205">
        <v>315816888391.16998</v>
      </c>
      <c r="AF62" s="205">
        <v>309955173475.96008</v>
      </c>
      <c r="AH62" s="205">
        <v>297524252204.77991</v>
      </c>
      <c r="AJ62" s="205">
        <v>292280230427.7901</v>
      </c>
    </row>
    <row r="63" spans="1:36" ht="18" customHeight="1" x14ac:dyDescent="0.2">
      <c r="A63" s="30" t="s">
        <v>110</v>
      </c>
      <c r="B63" s="31"/>
      <c r="C63" s="146" t="s">
        <v>110</v>
      </c>
      <c r="D63" s="144"/>
      <c r="E63" s="209">
        <v>2398327892502.6641</v>
      </c>
      <c r="F63" s="209">
        <v>2247186966502.1187</v>
      </c>
      <c r="G63" s="210">
        <f t="shared" si="7"/>
        <v>6.7257833128057554E-2</v>
      </c>
      <c r="H63" s="209">
        <v>2379909711565.9395</v>
      </c>
      <c r="I63" s="210">
        <f t="shared" si="8"/>
        <v>7.7390250761260049E-3</v>
      </c>
      <c r="K63" s="112" t="s">
        <v>530</v>
      </c>
      <c r="L63" s="118" t="str">
        <f t="shared" si="6"/>
        <v>NM</v>
      </c>
      <c r="N63" s="209">
        <v>2379909711565.9395</v>
      </c>
      <c r="P63" s="209">
        <v>2317428172448.8022</v>
      </c>
      <c r="R63" s="209">
        <v>2267138814780.7813</v>
      </c>
      <c r="T63" s="209">
        <v>2247186966502.1187</v>
      </c>
      <c r="V63" s="209">
        <v>2240066368457.4966</v>
      </c>
      <c r="X63" s="209">
        <v>2191545233420.9636</v>
      </c>
      <c r="Z63" s="209">
        <v>2156097690773.9517</v>
      </c>
      <c r="AB63" s="209">
        <v>2116145027349.6692</v>
      </c>
      <c r="AD63" s="209">
        <v>2036588033569.6836</v>
      </c>
      <c r="AF63" s="209">
        <v>1973304393335.4277</v>
      </c>
      <c r="AH63" s="209">
        <v>1961316901453.4658</v>
      </c>
      <c r="AJ63" s="209">
        <v>1933861582230.0684</v>
      </c>
    </row>
    <row r="64" spans="1:36" ht="15" customHeight="1" x14ac:dyDescent="0.2">
      <c r="A64" s="30" t="s">
        <v>119</v>
      </c>
      <c r="B64" s="31"/>
      <c r="C64" s="139" t="s">
        <v>116</v>
      </c>
      <c r="D64" s="140"/>
      <c r="E64" s="211">
        <v>2183218763005.8262</v>
      </c>
      <c r="F64" s="211">
        <v>2034130746790.0403</v>
      </c>
      <c r="G64" s="212">
        <f t="shared" si="7"/>
        <v>7.3293231740906739E-2</v>
      </c>
      <c r="H64" s="211">
        <v>2163224717136.5496</v>
      </c>
      <c r="I64" s="212">
        <f t="shared" si="8"/>
        <v>9.2427040569982299E-3</v>
      </c>
      <c r="K64" s="151" t="s">
        <v>530</v>
      </c>
      <c r="L64" s="152" t="str">
        <f t="shared" si="6"/>
        <v>NM</v>
      </c>
      <c r="M64" s="1"/>
      <c r="N64" s="211">
        <v>2163224717136.5496</v>
      </c>
      <c r="P64" s="211">
        <v>2098115521320.6577</v>
      </c>
      <c r="R64" s="211">
        <v>2050728012163.6152</v>
      </c>
      <c r="T64" s="211">
        <v>2034130746790.0403</v>
      </c>
      <c r="V64" s="211">
        <v>2018497940384.2974</v>
      </c>
      <c r="X64" s="211">
        <v>1972562958924.2534</v>
      </c>
      <c r="Z64" s="211">
        <v>1937658057005.0935</v>
      </c>
      <c r="AB64" s="211">
        <v>1891665804564.3889</v>
      </c>
      <c r="AD64" s="211">
        <v>1794111860643.1135</v>
      </c>
      <c r="AF64" s="211">
        <v>1744750109891.6975</v>
      </c>
      <c r="AH64" s="211">
        <v>1738081600695.6968</v>
      </c>
      <c r="AJ64" s="211">
        <v>1716267505226.1887</v>
      </c>
    </row>
    <row r="65" spans="1:36" ht="15" customHeight="1" x14ac:dyDescent="0.2">
      <c r="A65" s="30" t="s">
        <v>120</v>
      </c>
      <c r="B65" s="31"/>
      <c r="C65" s="139" t="s">
        <v>117</v>
      </c>
      <c r="D65" s="140"/>
      <c r="E65" s="211">
        <v>215109129496.83997</v>
      </c>
      <c r="F65" s="211">
        <v>213056219712.08023</v>
      </c>
      <c r="G65" s="212">
        <f t="shared" si="7"/>
        <v>9.6355308825717412E-3</v>
      </c>
      <c r="H65" s="211">
        <v>216684994429.38895</v>
      </c>
      <c r="I65" s="212">
        <f t="shared" si="8"/>
        <v>-7.272607578105772E-3</v>
      </c>
      <c r="K65" s="151" t="s">
        <v>530</v>
      </c>
      <c r="L65" s="152" t="str">
        <f t="shared" si="6"/>
        <v>NM</v>
      </c>
      <c r="M65" s="1"/>
      <c r="N65" s="211">
        <v>216684994429.38895</v>
      </c>
      <c r="P65" s="211">
        <v>219312651128.14392</v>
      </c>
      <c r="R65" s="211">
        <v>216410802617.16531</v>
      </c>
      <c r="T65" s="211">
        <v>213056219712.08023</v>
      </c>
      <c r="V65" s="211">
        <v>221568428073.20013</v>
      </c>
      <c r="X65" s="211">
        <v>218982274496.70999</v>
      </c>
      <c r="Z65" s="211">
        <v>218439633768.86008</v>
      </c>
      <c r="AB65" s="211">
        <v>224479222785.28</v>
      </c>
      <c r="AD65" s="211">
        <v>242476172926.57013</v>
      </c>
      <c r="AF65" s="211">
        <v>228554283443.72983</v>
      </c>
      <c r="AH65" s="211">
        <v>223235300757.76987</v>
      </c>
      <c r="AJ65" s="211">
        <v>217594077003.88013</v>
      </c>
    </row>
    <row r="66" spans="1:36" hidden="1" outlineLevel="1" x14ac:dyDescent="0.2">
      <c r="A66" s="138"/>
      <c r="B66" s="2"/>
      <c r="C66" s="39"/>
      <c r="D66" s="46"/>
      <c r="E66" s="157">
        <f>ROUND(E63-SUM(E48,E52,E53,E56,E60,E62)+E61-(E48+E52+E53+E56+E60)+E63-(E64+E65)+E59-(E48+E52+E53+E56),3)</f>
        <v>-2E-3</v>
      </c>
      <c r="F66" s="157">
        <f>ROUND(F63-SUM(F48,F52,F53,F56,F60,F62)+F61-(F48+F52+F53+F56+F60)+F63-(F64+F65)+F59-(F48+F52+F53+F56),3)</f>
        <v>-5.0000000000000001E-3</v>
      </c>
      <c r="H66" s="157">
        <f>ROUND(H63-SUM(H48,H52,H53,H56,H60,H62)+H61-(H48+H52+H53+H56+H60)+H63-(H64+H65)+H59-(H48+H52+H53+H56),3)</f>
        <v>2E-3</v>
      </c>
      <c r="K66" s="157" t="e">
        <f>ROUND(K63-SUM(K48,K52,K53,K56,K60,K62)+K61-(K48+K52+K53+K56+K60)+K63-(K64+K65)+K59-(K48+K52+K53+K56),3)</f>
        <v>#VALUE!</v>
      </c>
      <c r="N66" s="157">
        <f>ROUND(N63-SUM(N48,N52,N53,N56,N60,N62)+N61-(N48+N52+N53+N56+N60)+N63-(N64+N65)+N59-(N48+N52+N53+N56),3)</f>
        <v>2E-3</v>
      </c>
      <c r="P66" s="157">
        <f>ROUND(P63-SUM(P48,P52,P53,P56,P60,P62)+P61-(P48+P52+P53+P56+P60)+P63-(P64+P65)+P59-(P48+P52+P53+P56),3)</f>
        <v>-3.0000000000000001E-3</v>
      </c>
      <c r="R66" s="157">
        <f>ROUND(R63-SUM(R48,R52,R53,R56,R60,R62)+R61-(R48+R52+R53+R56+R60)+R63-(R64+R65)+R59-(R48+R52+R53+R56),3)</f>
        <v>3.0000000000000001E-3</v>
      </c>
      <c r="T66" s="157">
        <f>ROUND(T63-SUM(T48,T52,T53,T56,T60,T62)+T61-(T48+T52+T53+T56+T60)+T63-(T64+T65)+T59-(T48+T52+T53+T56),3)</f>
        <v>-5.0000000000000001E-3</v>
      </c>
      <c r="V66" s="157">
        <f>ROUND(V63-SUM(V48,V52,V53,V56,V60,V62)+V61-(V48+V52+V53+V56+V60)+V63-(V64+V65)+V59-(V48+V52+V53+V56),3)</f>
        <v>-1E-3</v>
      </c>
      <c r="X66" s="157">
        <f>ROUND(X63-SUM(X48,X52,X53,X56,X60,X62)+X61-(X48+X52+X53+X56+X60)+X63-(X64+X65)+X59-(X48+X52+X53+X56),3)</f>
        <v>1E-3</v>
      </c>
      <c r="Z66" s="157">
        <f>ROUND(Z63-SUM(Z48,Z52,Z53,Z56,Z60,Z62)+Z61-(Z48+Z52+Z53+Z56+Z60)+Z63-(Z64+Z65)+Z59-(Z48+Z52+Z53+Z56),3)</f>
        <v>-1E-3</v>
      </c>
      <c r="AB66" s="157">
        <f>ROUND(AB63-SUM(AB48,AB52,AB53,AB56,AB60,AB62)+AB61-(AB48+AB52+AB53+AB56+AB60)+AB63-(AB64+AB65)+AB59-(AB48+AB52+AB53+AB56),3)</f>
        <v>2E-3</v>
      </c>
      <c r="AD66" s="157">
        <f>ROUND(AD63-SUM(AD48,AD52,AD53,AD56,AD60,AD62)+AD61-(AD48+AD52+AD53+AD56+AD60)+AD63-(AD64+AD65)+AD59-(AD48+AD52+AD53+AD56),3)</f>
        <v>2E-3</v>
      </c>
      <c r="AF66" s="157">
        <f>ROUND(AF63-SUM(AF48,AF52,AF53,AF56,AF60,AF62)+AF61-(AF48+AF52+AF53+AF56+AF60)+AF63-(AF64+AF65)+AF59-(AF48+AF52+AF53+AF56),3)</f>
        <v>0</v>
      </c>
      <c r="AG66" s="157"/>
      <c r="AH66" s="157">
        <f>ROUND(AH63-SUM(AH48,AH52,AH53,AH56,AH60,AH62)+AH61-(AH48+AH52+AH53+AH56+AH60)+AH63-(AH64+AH65)+AH59-(AH48+AH52+AH53+AH56),3)</f>
        <v>1E-3</v>
      </c>
      <c r="AJ66" s="157">
        <f>ROUND(AJ63-SUM(AJ48,AJ52,AJ53,AJ56,AJ60,AJ62)+AJ61-(AJ48+AJ52+AJ53+AJ56+AJ60)+AJ63-(AJ64+AJ65)+AJ59-(AJ48+AJ52+AJ53+AJ56),3)</f>
        <v>-2E-3</v>
      </c>
    </row>
    <row r="67" spans="1:36" ht="17.399999999999999" collapsed="1" x14ac:dyDescent="0.3">
      <c r="A67" s="3"/>
      <c r="C67" s="897" t="s">
        <v>480</v>
      </c>
      <c r="D67" s="897"/>
      <c r="E67" s="897"/>
      <c r="F67" s="897"/>
      <c r="N67" s="77"/>
    </row>
    <row r="68" spans="1:36" ht="12" x14ac:dyDescent="0.2">
      <c r="B68" s="1"/>
      <c r="C68" s="190"/>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H68" s="36"/>
      <c r="AI68" s="36"/>
      <c r="AJ68" s="36"/>
    </row>
    <row r="69" spans="1:36" ht="17.399999999999999" x14ac:dyDescent="0.3">
      <c r="A69" s="30"/>
      <c r="B69" s="2"/>
      <c r="C69" s="100" t="s">
        <v>171</v>
      </c>
      <c r="D69" s="46"/>
      <c r="N69" s="77" t="s">
        <v>185</v>
      </c>
    </row>
    <row r="70" spans="1:36" ht="36" x14ac:dyDescent="0.25">
      <c r="A70" s="136" t="s">
        <v>154</v>
      </c>
      <c r="B70" s="2"/>
      <c r="C70" s="41" t="s">
        <v>107</v>
      </c>
      <c r="D70" s="46"/>
      <c r="E70" s="218" t="str" cm="1">
        <f t="array" ref="E70">"Flows"&amp;" "&amp;"
"&amp;INDEX(TableYtd,MONTH(E$3),2)&amp;YEAR(E$3)</f>
        <v>Flows 
Q1 2026</v>
      </c>
      <c r="F70" s="218" t="str" cm="1">
        <f t="array" ref="F70">"Flows"&amp;" "&amp;"
"&amp;INDEX(TableYtd,MONTH(F$3),2)&amp;YEAR(F$3)</f>
        <v>Flows 
Q1 2025</v>
      </c>
      <c r="H70" s="218" t="str">
        <f>"Flows"&amp;" "&amp;"
"&amp;"Q"&amp;MONTH(H$3)/3&amp;" "&amp;YEAR(H$3)</f>
        <v>Flows 
Q4 2025</v>
      </c>
      <c r="I70" s="339"/>
      <c r="K70" s="42" t="str">
        <f>"Flows"&amp;" "&amp;"
"&amp;"Q"&amp;MONTH(K$3)/3&amp;" "&amp;YEAR(K$3)</f>
        <v>Flows 
Q0.333333333333333 1900</v>
      </c>
      <c r="L70" s="105"/>
      <c r="M70" s="105"/>
      <c r="N70" s="218" t="str" cm="1">
        <f t="array" ref="N70">"Flows"&amp;" "&amp;"
"&amp;INDEX(TableYtd,MONTH(N$3),2)&amp;YEAR(N$3)</f>
        <v>Flows 
FY 2025</v>
      </c>
      <c r="O70" s="218" t="str">
        <f>"Flows"&amp;" "&amp;"
"&amp;"Q"&amp;MONTH(O$3)/3&amp;" "&amp;YEAR(O$3)</f>
        <v>Flows 
Q4 2025</v>
      </c>
      <c r="P70" s="218" t="str" cm="1">
        <f t="array" ref="P70">"Flows"&amp;" "&amp;"
"&amp;INDEX(TableYtd,MONTH(P$3),2)&amp;YEAR(P$3)</f>
        <v>Flows 
9M 2025</v>
      </c>
      <c r="Q70" s="218" t="str">
        <f>"Flows"&amp;" "&amp;"
"&amp;"Q"&amp;MONTH(Q$3)/3&amp;" "&amp;YEAR(Q$3)</f>
        <v>Flows 
Q3 2025</v>
      </c>
      <c r="R70" s="218" t="str" cm="1">
        <f t="array" ref="R70">"Flows"&amp;" "&amp;"
"&amp;INDEX(TableYtd,MONTH(R$3),2)&amp;YEAR(R$3)</f>
        <v>Flows 
H1 2025</v>
      </c>
      <c r="S70" s="218" t="str">
        <f>"Flows"&amp;" "&amp;"
"&amp;"Q"&amp;MONTH(S$3)/3&amp;" "&amp;YEAR(S$3)</f>
        <v>Flows 
Q2 2025</v>
      </c>
      <c r="T70" s="218" t="str" cm="1">
        <f t="array" ref="T70">"Flows"&amp;" "&amp;"
"&amp;INDEX(TableYtd,MONTH(T$3),2)&amp;YEAR(T$3)</f>
        <v>Flows 
Q1 2025</v>
      </c>
      <c r="U70" s="339"/>
      <c r="V70" s="218" t="str" cm="1">
        <f t="array" ref="V70">"Flows"&amp;" "&amp;"
"&amp;INDEX(TableYtd,MONTH(V$3),2)&amp;YEAR(V$3)</f>
        <v>Flows 
FY 2024</v>
      </c>
      <c r="W70" s="218" t="str">
        <f>"Flows"&amp;" "&amp;"
"&amp;"Q"&amp;MONTH(W$3)/3&amp;" "&amp;YEAR(W$3)</f>
        <v>Flows 
Q4 2024</v>
      </c>
      <c r="X70" s="218" t="str" cm="1">
        <f t="array" ref="X70">"Flows"&amp;" "&amp;"
"&amp;INDEX(TableYtd,MONTH(X$3),2)&amp;YEAR(X$3)</f>
        <v>Flows 
9M 2024</v>
      </c>
      <c r="Y70" s="218" t="str">
        <f>"Flows"&amp;" "&amp;"
"&amp;"Q"&amp;MONTH(Y$3)/3&amp;" "&amp;YEAR(Y$3)</f>
        <v>Flows 
Q3 2024</v>
      </c>
      <c r="Z70" s="218" t="str" cm="1">
        <f t="array" ref="Z70">"Flows"&amp;" "&amp;"
"&amp;INDEX(TableYtd,MONTH(Z$3),2)&amp;YEAR(Z$3)</f>
        <v>Flows 
H1 2024</v>
      </c>
      <c r="AA70" s="218" t="str">
        <f>"Flows"&amp;" "&amp;"
"&amp;"Q"&amp;MONTH(AA$3)/3&amp;" "&amp;YEAR(AA$3)</f>
        <v>Flows 
Q2 2024</v>
      </c>
      <c r="AB70" s="218" t="str">
        <f>"Flows"&amp;" "&amp;"
"&amp;"Q"&amp;MONTH(AB$3)/3&amp;" "&amp;YEAR(AB$3)</f>
        <v>Flows 
Q1 2024</v>
      </c>
      <c r="AC70" s="339"/>
      <c r="AD70" s="218" t="str" cm="1">
        <f t="array" ref="AD70">"Flows"&amp;" "&amp;"
"&amp;INDEX(TableYtd,MONTH(AD$3),2)&amp;YEAR(AD$3)</f>
        <v>Flows 
FY 2023</v>
      </c>
      <c r="AE70" s="218" t="str">
        <f>"Flows"&amp;" "&amp;"
"&amp;"Q"&amp;MONTH(AE$3)/3&amp;" "&amp;YEAR(AE$3)</f>
        <v>Flows 
Q4 2023</v>
      </c>
      <c r="AF70" s="218" t="str" cm="1">
        <f t="array" ref="AF70">"Flows"&amp;" "&amp;"
"&amp;INDEX(TableYtd,MONTH(AF$3),2)&amp;YEAR(AF$3)</f>
        <v>Flows 
9M 2023</v>
      </c>
      <c r="AG70" s="218" t="str">
        <f>"Flows"&amp;" "&amp;"
"&amp;"Q"&amp;MONTH(AG$3)/3&amp;" "&amp;YEAR(AG$3)</f>
        <v>Flows 
Q3 2023</v>
      </c>
      <c r="AH70" s="218" t="str" cm="1">
        <f t="array" ref="AH70">"Flows"&amp;" "&amp;"
"&amp;INDEX(TableYtd,MONTH(AH$3),2)&amp;YEAR(AH$3)</f>
        <v>Flows 
H1 2023</v>
      </c>
      <c r="AI70" s="218" t="str">
        <f>"Flows"&amp;" "&amp;"
"&amp;"Q"&amp;MONTH(AI$3)/3&amp;" "&amp;YEAR(AI$3)</f>
        <v>Flows 
Q2 2023</v>
      </c>
      <c r="AJ70" s="218" t="str" cm="1">
        <f t="array" ref="AJ70">"Flows"&amp;" "&amp;"
"&amp;INDEX(TableYtd,MONTH(AJ$3),2)&amp;YEAR(AJ$3)</f>
        <v>Flows 
Q1 2023</v>
      </c>
    </row>
    <row r="71" spans="1:36" ht="15" customHeight="1" x14ac:dyDescent="0.25">
      <c r="A71" s="30" t="s">
        <v>470</v>
      </c>
      <c r="B71" s="31"/>
      <c r="C71" s="60" t="s">
        <v>176</v>
      </c>
      <c r="D71" s="46"/>
      <c r="E71" s="215">
        <v>6845741009.0484943</v>
      </c>
      <c r="F71" s="215">
        <v>6292008450.8030958</v>
      </c>
      <c r="H71" s="215">
        <v>4875955427.7944317</v>
      </c>
      <c r="I71" s="353"/>
      <c r="K71" s="67" t="s">
        <v>530</v>
      </c>
      <c r="L71" s="106"/>
      <c r="M71" s="106"/>
      <c r="N71" s="215">
        <v>13173978777.261984</v>
      </c>
      <c r="O71" s="215">
        <v>4875955427.7944317</v>
      </c>
      <c r="P71" s="215">
        <v>8259604491.7922535</v>
      </c>
      <c r="Q71" s="215">
        <v>-827727754.8186152</v>
      </c>
      <c r="R71" s="215">
        <v>9087332246.6109123</v>
      </c>
      <c r="S71" s="215">
        <v>2916202332.5794711</v>
      </c>
      <c r="T71" s="215">
        <v>6292008450.8030958</v>
      </c>
      <c r="U71" s="353"/>
      <c r="V71" s="215">
        <v>7632810213.4487953</v>
      </c>
      <c r="W71" s="215">
        <v>5455911982.4416504</v>
      </c>
      <c r="X71" s="215">
        <v>2176898231.0070877</v>
      </c>
      <c r="Y71" s="215">
        <v>-7142668667.4976063</v>
      </c>
      <c r="Z71" s="215">
        <v>9319566898.5047188</v>
      </c>
      <c r="AA71" s="215">
        <v>8049690555.3353863</v>
      </c>
      <c r="AB71" s="215">
        <v>1269876343.1693592</v>
      </c>
      <c r="AC71" s="353"/>
      <c r="AD71" s="215">
        <v>-21334947440.170952</v>
      </c>
      <c r="AE71" s="215">
        <v>-5707455832.4207888</v>
      </c>
      <c r="AF71" s="215">
        <v>-15627491607.750162</v>
      </c>
      <c r="AG71" s="215">
        <v>-1916583078.9801931</v>
      </c>
      <c r="AH71" s="215">
        <v>-13710908528.769979</v>
      </c>
      <c r="AI71" s="215">
        <v>-649221143.48483562</v>
      </c>
      <c r="AJ71" s="215">
        <v>-13061687385.28513</v>
      </c>
    </row>
    <row r="72" spans="1:36" ht="12" x14ac:dyDescent="0.25">
      <c r="A72" s="3" t="s">
        <v>471</v>
      </c>
      <c r="B72" s="31"/>
      <c r="C72" s="142" t="s">
        <v>111</v>
      </c>
      <c r="D72" s="47"/>
      <c r="E72" s="213">
        <v>-2316145373.9884138</v>
      </c>
      <c r="F72" s="213">
        <v>-3941115288.7211757</v>
      </c>
      <c r="H72" s="213">
        <v>-3046610066.1073112</v>
      </c>
      <c r="I72" s="213"/>
      <c r="K72" s="64" t="s">
        <v>530</v>
      </c>
      <c r="L72" s="64"/>
      <c r="M72" s="64"/>
      <c r="N72" s="213">
        <v>-10390050804.361597</v>
      </c>
      <c r="O72" s="213">
        <v>-3046610066.1073112</v>
      </c>
      <c r="P72" s="213">
        <v>-7343396513.0742559</v>
      </c>
      <c r="Q72" s="213">
        <v>-2503627442.2797813</v>
      </c>
      <c r="R72" s="213">
        <v>-4839769070.7944727</v>
      </c>
      <c r="S72" s="213">
        <v>-813537213.55163443</v>
      </c>
      <c r="T72" s="213">
        <v>-3941115288.7211757</v>
      </c>
      <c r="U72" s="213"/>
      <c r="V72" s="213">
        <v>-7904985144.2562628</v>
      </c>
      <c r="W72" s="213">
        <v>-2472383554.7612882</v>
      </c>
      <c r="X72" s="213">
        <v>-5432601589.4949636</v>
      </c>
      <c r="Y72" s="213">
        <v>-2284699955.9922395</v>
      </c>
      <c r="Z72" s="213">
        <v>-3147901633.5027142</v>
      </c>
      <c r="AA72" s="213">
        <v>-358998145.78196412</v>
      </c>
      <c r="AB72" s="213">
        <v>-2788903487.7207427</v>
      </c>
      <c r="AC72" s="213"/>
      <c r="AD72" s="213">
        <v>-4587561220.2046976</v>
      </c>
      <c r="AE72" s="213">
        <v>-2094557613.9868438</v>
      </c>
      <c r="AF72" s="213">
        <v>-2493003606.2178483</v>
      </c>
      <c r="AG72" s="213">
        <v>-1642680794.8618851</v>
      </c>
      <c r="AH72" s="213">
        <v>-850322811.35596144</v>
      </c>
      <c r="AI72" s="213">
        <v>445830861.70917124</v>
      </c>
      <c r="AJ72" s="213">
        <v>-1296153673.065134</v>
      </c>
    </row>
    <row r="73" spans="1:36" x14ac:dyDescent="0.2">
      <c r="A73" s="3" t="s">
        <v>472</v>
      </c>
      <c r="B73" s="31"/>
      <c r="C73" s="142" t="s">
        <v>112</v>
      </c>
      <c r="D73" s="46"/>
      <c r="E73" s="213">
        <v>1833742760.7083857</v>
      </c>
      <c r="F73" s="213">
        <v>-965611438.89819503</v>
      </c>
      <c r="H73" s="213">
        <v>1919954443.2757452</v>
      </c>
      <c r="I73" s="213"/>
      <c r="K73" s="64" t="s">
        <v>530</v>
      </c>
      <c r="L73" s="64"/>
      <c r="M73" s="64"/>
      <c r="N73" s="213">
        <v>3619563318.0870667</v>
      </c>
      <c r="O73" s="213">
        <v>1919954443.2757452</v>
      </c>
      <c r="P73" s="213">
        <v>1661130187.2159967</v>
      </c>
      <c r="Q73" s="213">
        <v>2599984412.3041463</v>
      </c>
      <c r="R73" s="213">
        <v>-938854225.08814692</v>
      </c>
      <c r="S73" s="213">
        <v>37891526.610048421</v>
      </c>
      <c r="T73" s="213">
        <v>-965611438.89819503</v>
      </c>
      <c r="U73" s="213"/>
      <c r="V73" s="213">
        <v>-24533766492.222424</v>
      </c>
      <c r="W73" s="213">
        <v>-1150683864.3797297</v>
      </c>
      <c r="X73" s="213">
        <v>-23383082627.842731</v>
      </c>
      <c r="Y73" s="213">
        <v>-15674181554.582165</v>
      </c>
      <c r="Z73" s="213">
        <v>-7708901073.260561</v>
      </c>
      <c r="AA73" s="213">
        <v>278537441.84659708</v>
      </c>
      <c r="AB73" s="213">
        <v>-7987438515.1071539</v>
      </c>
      <c r="AC73" s="213"/>
      <c r="AD73" s="213">
        <v>-26020395332.053692</v>
      </c>
      <c r="AE73" s="213">
        <v>-7832435008.6386261</v>
      </c>
      <c r="AF73" s="213">
        <v>-18187960323.415077</v>
      </c>
      <c r="AG73" s="213">
        <v>-6342079725.6715565</v>
      </c>
      <c r="AH73" s="213">
        <v>-11845880597.743521</v>
      </c>
      <c r="AI73" s="213">
        <v>-4258371095.0533047</v>
      </c>
      <c r="AJ73" s="213">
        <v>-7587509502.690218</v>
      </c>
    </row>
    <row r="74" spans="1:36" x14ac:dyDescent="0.2">
      <c r="A74" s="3" t="s">
        <v>473</v>
      </c>
      <c r="B74" s="31"/>
      <c r="C74" s="143" t="s">
        <v>113</v>
      </c>
      <c r="D74" s="46"/>
      <c r="E74" s="213">
        <v>7328143622.3285227</v>
      </c>
      <c r="F74" s="213">
        <v>11198735178.422466</v>
      </c>
      <c r="H74" s="213">
        <v>6002611050.6259975</v>
      </c>
      <c r="I74" s="213"/>
      <c r="K74" s="64" t="s">
        <v>530</v>
      </c>
      <c r="L74" s="64"/>
      <c r="M74" s="64"/>
      <c r="N74" s="213">
        <v>19944466263.536514</v>
      </c>
      <c r="O74" s="213">
        <v>6002611050.6259975</v>
      </c>
      <c r="P74" s="213">
        <v>13941870817.650513</v>
      </c>
      <c r="Q74" s="213">
        <v>-924084724.84298015</v>
      </c>
      <c r="R74" s="213">
        <v>14865955542.493532</v>
      </c>
      <c r="S74" s="213">
        <v>3691848019.5210571</v>
      </c>
      <c r="T74" s="213">
        <v>11198735178.422466</v>
      </c>
      <c r="U74" s="213"/>
      <c r="V74" s="213">
        <v>40071561849.927483</v>
      </c>
      <c r="W74" s="213">
        <v>9078979401.5826683</v>
      </c>
      <c r="X74" s="213">
        <v>30992582448.344784</v>
      </c>
      <c r="Y74" s="213">
        <v>10816212843.076799</v>
      </c>
      <c r="Z74" s="213">
        <v>20176369605.267994</v>
      </c>
      <c r="AA74" s="213">
        <v>8130151259.2707529</v>
      </c>
      <c r="AB74" s="213">
        <v>12046218345.997255</v>
      </c>
      <c r="AC74" s="213"/>
      <c r="AD74" s="213">
        <v>9273009112.0874367</v>
      </c>
      <c r="AE74" s="213">
        <v>4219536790.2046804</v>
      </c>
      <c r="AF74" s="213">
        <v>5053472321.8827648</v>
      </c>
      <c r="AG74" s="213">
        <v>6068177441.5532484</v>
      </c>
      <c r="AH74" s="213">
        <v>-1014705119.6704974</v>
      </c>
      <c r="AI74" s="213">
        <v>3163319089.8592978</v>
      </c>
      <c r="AJ74" s="213">
        <v>-4178024209.5297785</v>
      </c>
    </row>
    <row r="75" spans="1:36" ht="15" customHeight="1" x14ac:dyDescent="0.25">
      <c r="A75" s="30" t="s">
        <v>466</v>
      </c>
      <c r="B75" s="31"/>
      <c r="C75" s="60" t="s">
        <v>115</v>
      </c>
      <c r="D75" s="46"/>
      <c r="E75" s="215">
        <v>-2941487844.6572051</v>
      </c>
      <c r="F75" s="215">
        <v>-2043035086.7704301</v>
      </c>
      <c r="H75" s="215">
        <v>-1113270458.6840925</v>
      </c>
      <c r="I75" s="353"/>
      <c r="K75" s="67" t="s">
        <v>530</v>
      </c>
      <c r="L75" s="106"/>
      <c r="M75" s="106"/>
      <c r="N75" s="215">
        <v>-5544238772.0631752</v>
      </c>
      <c r="O75" s="215">
        <v>-1113270458.6840925</v>
      </c>
      <c r="P75" s="215">
        <v>-4430968313.3790836</v>
      </c>
      <c r="Q75" s="215">
        <v>-952369729.42978656</v>
      </c>
      <c r="R75" s="215">
        <v>-3478598583.9492979</v>
      </c>
      <c r="S75" s="215">
        <v>-1435563497.1788671</v>
      </c>
      <c r="T75" s="215">
        <v>-2043035086.7704301</v>
      </c>
      <c r="U75" s="353"/>
      <c r="V75" s="215">
        <v>3645034843.9839153</v>
      </c>
      <c r="W75" s="215">
        <v>909357919.20004797</v>
      </c>
      <c r="X75" s="215">
        <v>2735676924.7838664</v>
      </c>
      <c r="Y75" s="215">
        <v>805456283.69422889</v>
      </c>
      <c r="Z75" s="215">
        <v>1930220641.0896368</v>
      </c>
      <c r="AA75" s="215">
        <v>1316295896.7125449</v>
      </c>
      <c r="AB75" s="215">
        <v>613924744.37709093</v>
      </c>
      <c r="AC75" s="353"/>
      <c r="AD75" s="215">
        <v>5637134912.0719662</v>
      </c>
      <c r="AE75" s="215">
        <v>2782507474.4589272</v>
      </c>
      <c r="AF75" s="215">
        <v>2854627437.6130385</v>
      </c>
      <c r="AG75" s="215">
        <v>-201141782.4199951</v>
      </c>
      <c r="AH75" s="215">
        <v>3055769220.0330329</v>
      </c>
      <c r="AI75" s="215">
        <v>2002530501.4214132</v>
      </c>
      <c r="AJ75" s="215">
        <v>1053238718.611621</v>
      </c>
    </row>
    <row r="76" spans="1:36" ht="15" customHeight="1" x14ac:dyDescent="0.25">
      <c r="A76" s="30" t="s">
        <v>474</v>
      </c>
      <c r="B76" s="31"/>
      <c r="C76" s="60" t="s">
        <v>274</v>
      </c>
      <c r="D76" s="46"/>
      <c r="E76" s="215">
        <v>23972596386.554157</v>
      </c>
      <c r="F76" s="215">
        <v>33378634224.627052</v>
      </c>
      <c r="H76" s="215">
        <v>21033917438.017502</v>
      </c>
      <c r="I76" s="353"/>
      <c r="K76" s="67" t="s">
        <v>530</v>
      </c>
      <c r="L76" s="106"/>
      <c r="M76" s="106"/>
      <c r="N76" s="215">
        <v>75627800162.417435</v>
      </c>
      <c r="O76" s="215">
        <v>21033917438.017502</v>
      </c>
      <c r="P76" s="215">
        <v>54593882724.399933</v>
      </c>
      <c r="Q76" s="215">
        <v>10421153095.624887</v>
      </c>
      <c r="R76" s="215">
        <v>44172729628.775055</v>
      </c>
      <c r="S76" s="215">
        <v>10673216867.37635</v>
      </c>
      <c r="T76" s="215">
        <v>33378634224.627052</v>
      </c>
      <c r="U76" s="353"/>
      <c r="V76" s="215">
        <v>23881469868.467056</v>
      </c>
      <c r="W76" s="215">
        <v>11530873125.82481</v>
      </c>
      <c r="X76" s="215">
        <v>12350596742.642176</v>
      </c>
      <c r="Y76" s="215">
        <v>3837089626.7739482</v>
      </c>
      <c r="Z76" s="215">
        <v>8513507115.868228</v>
      </c>
      <c r="AA76" s="215">
        <v>6028352132.8580408</v>
      </c>
      <c r="AB76" s="215">
        <v>2485154983.0102148</v>
      </c>
      <c r="AC76" s="353"/>
      <c r="AD76" s="215">
        <v>16558709925.837212</v>
      </c>
      <c r="AE76" s="215">
        <v>5752429083.9184685</v>
      </c>
      <c r="AF76" s="215">
        <v>10806280841.918762</v>
      </c>
      <c r="AG76" s="215">
        <v>10776685162.149685</v>
      </c>
      <c r="AH76" s="215">
        <v>29595679.769070566</v>
      </c>
      <c r="AI76" s="215">
        <v>260959725.89608961</v>
      </c>
      <c r="AJ76" s="215">
        <v>-231364046.12702549</v>
      </c>
    </row>
    <row r="77" spans="1:36" ht="12" x14ac:dyDescent="0.25">
      <c r="A77" s="3" t="s">
        <v>475</v>
      </c>
      <c r="B77" s="31"/>
      <c r="C77" s="142" t="s">
        <v>177</v>
      </c>
      <c r="D77" s="47"/>
      <c r="E77" s="213">
        <v>16003706341.054583</v>
      </c>
      <c r="F77" s="213">
        <v>10395172790.850035</v>
      </c>
      <c r="H77" s="213">
        <v>18136644014.618999</v>
      </c>
      <c r="I77" s="213"/>
      <c r="K77" s="64" t="s">
        <v>530</v>
      </c>
      <c r="L77" s="68"/>
      <c r="M77" s="68"/>
      <c r="N77" s="213">
        <v>46494680263.902519</v>
      </c>
      <c r="O77" s="213">
        <v>18136644014.618999</v>
      </c>
      <c r="P77" s="213">
        <v>28358036249.283504</v>
      </c>
      <c r="Q77" s="213">
        <v>9781354412.3323002</v>
      </c>
      <c r="R77" s="213">
        <v>18576681836.951202</v>
      </c>
      <c r="S77" s="213">
        <v>8181509046.1012011</v>
      </c>
      <c r="T77" s="213">
        <v>10395172790.850035</v>
      </c>
      <c r="U77" s="213"/>
      <c r="V77" s="213">
        <v>27831229627.83112</v>
      </c>
      <c r="W77" s="213">
        <v>10505537714.020199</v>
      </c>
      <c r="X77" s="213">
        <v>17325691913.810841</v>
      </c>
      <c r="Y77" s="213">
        <v>7796219527.1587925</v>
      </c>
      <c r="Z77" s="213">
        <v>9529472386.65205</v>
      </c>
      <c r="AA77" s="213">
        <v>4500629916.591198</v>
      </c>
      <c r="AB77" s="213">
        <v>5028842470.0608797</v>
      </c>
      <c r="AC77" s="213"/>
      <c r="AD77" s="213">
        <v>12998655604.005404</v>
      </c>
      <c r="AE77" s="213">
        <v>5035250210.3183031</v>
      </c>
      <c r="AF77" s="213">
        <v>7963405393.6871119</v>
      </c>
      <c r="AG77" s="213">
        <v>3570419943.547101</v>
      </c>
      <c r="AH77" s="213">
        <v>4392985450.140007</v>
      </c>
      <c r="AI77" s="213">
        <v>2459233140.756598</v>
      </c>
      <c r="AJ77" s="213">
        <v>1933752309.3834047</v>
      </c>
    </row>
    <row r="78" spans="1:36" ht="12" x14ac:dyDescent="0.25">
      <c r="A78" s="3" t="s">
        <v>481</v>
      </c>
      <c r="B78" s="31"/>
      <c r="C78" s="143" t="s">
        <v>218</v>
      </c>
      <c r="D78" s="46"/>
      <c r="E78" s="213">
        <v>7968890045.4995756</v>
      </c>
      <c r="F78" s="213">
        <v>22983461433.77702</v>
      </c>
      <c r="H78" s="213">
        <v>2897273423.3985033</v>
      </c>
      <c r="I78" s="213"/>
      <c r="K78" s="64" t="s">
        <v>530</v>
      </c>
      <c r="L78" s="106"/>
      <c r="M78" s="106"/>
      <c r="N78" s="213">
        <v>29133119898.514912</v>
      </c>
      <c r="O78" s="213">
        <v>2897273423.3985033</v>
      </c>
      <c r="P78" s="213">
        <v>26235846475.116432</v>
      </c>
      <c r="Q78" s="213">
        <v>639798683.29258704</v>
      </c>
      <c r="R78" s="213">
        <v>25596047791.823853</v>
      </c>
      <c r="S78" s="213">
        <v>2491707821.2751493</v>
      </c>
      <c r="T78" s="213">
        <v>22983461433.77702</v>
      </c>
      <c r="U78" s="213"/>
      <c r="V78" s="213">
        <v>-3949759759.3640623</v>
      </c>
      <c r="W78" s="213">
        <v>1025335411.8046119</v>
      </c>
      <c r="X78" s="213">
        <v>-4975095171.1686649</v>
      </c>
      <c r="Y78" s="213">
        <v>-3959129900.3848443</v>
      </c>
      <c r="Z78" s="213">
        <v>-1015965270.7838225</v>
      </c>
      <c r="AA78" s="213">
        <v>1527722216.2668421</v>
      </c>
      <c r="AB78" s="213">
        <v>-2543687487.0506649</v>
      </c>
      <c r="AC78" s="213"/>
      <c r="AD78" s="213">
        <v>3560054321.8318076</v>
      </c>
      <c r="AE78" s="213">
        <v>717178873.60016572</v>
      </c>
      <c r="AF78" s="213">
        <v>2842875448.2316508</v>
      </c>
      <c r="AG78" s="213">
        <v>7206265218.6025829</v>
      </c>
      <c r="AH78" s="213">
        <v>-4363389770.3709364</v>
      </c>
      <c r="AI78" s="213">
        <v>-2198273414.8605084</v>
      </c>
      <c r="AJ78" s="213">
        <v>-2165116355.5104303</v>
      </c>
    </row>
    <row r="79" spans="1:36" ht="15" customHeight="1" x14ac:dyDescent="0.25">
      <c r="A79" s="30" t="s">
        <v>476</v>
      </c>
      <c r="B79" s="31"/>
      <c r="C79" s="60" t="s">
        <v>275</v>
      </c>
      <c r="D79" s="46"/>
      <c r="E79" s="215">
        <v>3067669768.9982338</v>
      </c>
      <c r="F79" s="215">
        <v>-740753062.04987276</v>
      </c>
      <c r="H79" s="215">
        <v>-632011633.23829579</v>
      </c>
      <c r="I79" s="353"/>
      <c r="K79" s="67" t="s">
        <v>530</v>
      </c>
      <c r="L79" s="106"/>
      <c r="M79" s="106"/>
      <c r="N79" s="215">
        <v>-2072687299.5381684</v>
      </c>
      <c r="O79" s="215">
        <v>-632011633.23829579</v>
      </c>
      <c r="P79" s="215">
        <v>-1440675666.2998722</v>
      </c>
      <c r="Q79" s="215">
        <v>315911945.64493096</v>
      </c>
      <c r="R79" s="215">
        <v>-1756587611.9448032</v>
      </c>
      <c r="S79" s="215">
        <v>-1015834549.894931</v>
      </c>
      <c r="T79" s="215">
        <v>-740753062.04987276</v>
      </c>
      <c r="U79" s="353"/>
      <c r="V79" s="215">
        <v>-1205289758.8852918</v>
      </c>
      <c r="W79" s="215">
        <v>-7654277.5499998359</v>
      </c>
      <c r="X79" s="215">
        <v>-1197635481.3352923</v>
      </c>
      <c r="Y79" s="215">
        <v>39058626.260000013</v>
      </c>
      <c r="Z79" s="215">
        <v>-1236694107.5952916</v>
      </c>
      <c r="AA79" s="215">
        <v>-297118126.68585235</v>
      </c>
      <c r="AB79" s="215">
        <v>-939575980.90943992</v>
      </c>
      <c r="AC79" s="353"/>
      <c r="AD79" s="215">
        <v>-1344817548.2221577</v>
      </c>
      <c r="AE79" s="215">
        <v>-892551891.10763466</v>
      </c>
      <c r="AF79" s="215">
        <v>-452265657.11452299</v>
      </c>
      <c r="AG79" s="215">
        <v>-871579509.29803467</v>
      </c>
      <c r="AH79" s="215">
        <v>419313852.18351233</v>
      </c>
      <c r="AI79" s="215">
        <v>543955651.38280761</v>
      </c>
      <c r="AJ79" s="215">
        <v>-124641799.19929458</v>
      </c>
    </row>
    <row r="80" spans="1:36" ht="12" x14ac:dyDescent="0.25">
      <c r="A80" s="3" t="s">
        <v>464</v>
      </c>
      <c r="B80" s="31"/>
      <c r="C80" s="142" t="s">
        <v>273</v>
      </c>
      <c r="D80" s="46"/>
      <c r="E80" s="213">
        <v>3243491640.619998</v>
      </c>
      <c r="F80" s="213">
        <v>-630776976.70987284</v>
      </c>
      <c r="H80" s="213">
        <v>-351073008.13000011</v>
      </c>
      <c r="I80" s="213"/>
      <c r="K80" s="64" t="s">
        <v>530</v>
      </c>
      <c r="L80" s="106"/>
      <c r="M80" s="106"/>
      <c r="N80" s="213">
        <v>-1201130775.469873</v>
      </c>
      <c r="O80" s="213">
        <v>-351073008.13000011</v>
      </c>
      <c r="P80" s="213">
        <v>-850057767.33987355</v>
      </c>
      <c r="Q80" s="213">
        <v>395871503.65000021</v>
      </c>
      <c r="R80" s="213">
        <v>-1245929270.9898729</v>
      </c>
      <c r="S80" s="213">
        <v>-615152294.28000045</v>
      </c>
      <c r="T80" s="213">
        <v>-630776976.70987284</v>
      </c>
      <c r="U80" s="213"/>
      <c r="V80" s="213">
        <v>11776599.689999565</v>
      </c>
      <c r="W80" s="213">
        <v>102481251.42000014</v>
      </c>
      <c r="X80" s="213">
        <v>-90704651.729999632</v>
      </c>
      <c r="Y80" s="213">
        <v>190097192.46000007</v>
      </c>
      <c r="Z80" s="213">
        <v>-280801844.19000024</v>
      </c>
      <c r="AA80" s="213">
        <v>-87614657.600407019</v>
      </c>
      <c r="AB80" s="213">
        <v>-193187186.58959299</v>
      </c>
      <c r="AC80" s="213"/>
      <c r="AD80" s="213">
        <v>-1372343.9034042945</v>
      </c>
      <c r="AE80" s="213">
        <v>-210963273.66763416</v>
      </c>
      <c r="AF80" s="213">
        <v>209590929.7642304</v>
      </c>
      <c r="AG80" s="213">
        <v>-304574344.45975477</v>
      </c>
      <c r="AH80" s="213">
        <v>514165274.22398478</v>
      </c>
      <c r="AI80" s="213">
        <v>629192920.37835228</v>
      </c>
      <c r="AJ80" s="213">
        <v>-115027646.15436728</v>
      </c>
    </row>
    <row r="81" spans="1:36" ht="12" x14ac:dyDescent="0.25">
      <c r="A81" s="3" t="s">
        <v>465</v>
      </c>
      <c r="B81" s="31"/>
      <c r="C81" s="142" t="s">
        <v>114</v>
      </c>
      <c r="D81" s="46"/>
      <c r="E81" s="213">
        <v>-175821871.6217643</v>
      </c>
      <c r="F81" s="213">
        <v>-109976085.33999999</v>
      </c>
      <c r="G81" s="64"/>
      <c r="H81" s="213">
        <v>-280938625.10829598</v>
      </c>
      <c r="I81" s="213"/>
      <c r="K81" s="64" t="s">
        <v>530</v>
      </c>
      <c r="L81" s="106"/>
      <c r="M81" s="106"/>
      <c r="N81" s="213">
        <v>-871556524.06829572</v>
      </c>
      <c r="O81" s="213">
        <v>-280938625.10829598</v>
      </c>
      <c r="P81" s="213">
        <v>-590617898.9599998</v>
      </c>
      <c r="Q81" s="213">
        <v>-79959558.005069122</v>
      </c>
      <c r="R81" s="213">
        <v>-510658340.95493096</v>
      </c>
      <c r="S81" s="213">
        <v>-400682255.61493075</v>
      </c>
      <c r="T81" s="213">
        <v>-109976085.33999999</v>
      </c>
      <c r="U81" s="213"/>
      <c r="V81" s="213">
        <v>-1217066358.5752921</v>
      </c>
      <c r="W81" s="213">
        <v>-110135528.97</v>
      </c>
      <c r="X81" s="213">
        <v>-1106930829.6052921</v>
      </c>
      <c r="Y81" s="213">
        <v>-151038566.19999999</v>
      </c>
      <c r="Z81" s="213">
        <v>-955892263.40529227</v>
      </c>
      <c r="AA81" s="213">
        <v>-209503469.08544511</v>
      </c>
      <c r="AB81" s="213">
        <v>-746388794.31984699</v>
      </c>
      <c r="AC81" s="213"/>
      <c r="AD81" s="213">
        <v>-1343445204.3187537</v>
      </c>
      <c r="AE81" s="213">
        <v>-681588617.44000018</v>
      </c>
      <c r="AF81" s="213">
        <v>-661856586.87875295</v>
      </c>
      <c r="AG81" s="213">
        <v>-567005164.8382802</v>
      </c>
      <c r="AH81" s="213">
        <v>-94851422.040472463</v>
      </c>
      <c r="AI81" s="213">
        <v>-85237268.995544761</v>
      </c>
      <c r="AJ81" s="213">
        <v>-9614153.0449272543</v>
      </c>
    </row>
    <row r="82" spans="1:36" ht="15" customHeight="1" x14ac:dyDescent="0.25">
      <c r="A82" s="30" t="s">
        <v>467</v>
      </c>
      <c r="B82" s="31"/>
      <c r="C82" s="279" t="s">
        <v>477</v>
      </c>
      <c r="D82" s="46"/>
      <c r="E82" s="293">
        <v>30944519319.943665</v>
      </c>
      <c r="F82" s="293">
        <v>36886854526.60984</v>
      </c>
      <c r="H82" s="293">
        <v>24164590773.88953</v>
      </c>
      <c r="I82" s="353"/>
      <c r="K82" s="294" t="s">
        <v>530</v>
      </c>
      <c r="L82" s="106"/>
      <c r="M82" s="106"/>
      <c r="N82" s="293">
        <v>81184852868.078171</v>
      </c>
      <c r="O82" s="293">
        <v>24164590773.88953</v>
      </c>
      <c r="P82" s="293">
        <v>56981843236.51329</v>
      </c>
      <c r="Q82" s="293">
        <v>8956967557.0214081</v>
      </c>
      <c r="R82" s="293">
        <v>48024875679.491882</v>
      </c>
      <c r="S82" s="293">
        <v>11138021152.882025</v>
      </c>
      <c r="T82" s="293">
        <v>36886854526.60984</v>
      </c>
      <c r="U82" s="353"/>
      <c r="V82" s="293">
        <v>33954025167.014427</v>
      </c>
      <c r="W82" s="293">
        <v>17888488749.916512</v>
      </c>
      <c r="X82" s="293">
        <v>16065536417.097878</v>
      </c>
      <c r="Y82" s="293">
        <v>-2461064130.7694349</v>
      </c>
      <c r="Z82" s="293">
        <v>18526600547.867302</v>
      </c>
      <c r="AA82" s="293">
        <v>15097220458.220131</v>
      </c>
      <c r="AB82" s="293">
        <v>3429380089.6472197</v>
      </c>
      <c r="AC82" s="353"/>
      <c r="AD82" s="293">
        <v>-483920150.4839325</v>
      </c>
      <c r="AE82" s="293">
        <v>1934928834.8489733</v>
      </c>
      <c r="AF82" s="293">
        <v>-2418848985.3329086</v>
      </c>
      <c r="AG82" s="293">
        <v>7787380791.4514599</v>
      </c>
      <c r="AH82" s="293">
        <v>-10206229776.784378</v>
      </c>
      <c r="AI82" s="293">
        <v>2158224735.2154818</v>
      </c>
      <c r="AJ82" s="293">
        <v>-12364454511.999853</v>
      </c>
    </row>
    <row r="83" spans="1:36" ht="14.25" customHeight="1" x14ac:dyDescent="0.25">
      <c r="A83" s="30" t="s">
        <v>468</v>
      </c>
      <c r="B83" s="31"/>
      <c r="C83" s="284" t="s">
        <v>478</v>
      </c>
      <c r="D83" s="46"/>
      <c r="E83" s="293">
        <v>-2059919640.8270085</v>
      </c>
      <c r="F83" s="293">
        <v>-8677359448.6607361</v>
      </c>
      <c r="H83" s="295">
        <v>-4152563368.396965</v>
      </c>
      <c r="I83" s="353"/>
      <c r="K83" s="296" t="s">
        <v>530</v>
      </c>
      <c r="L83" s="106"/>
      <c r="M83" s="106"/>
      <c r="N83" s="295">
        <v>-11720888875.763569</v>
      </c>
      <c r="O83" s="295">
        <v>-4152563368.396965</v>
      </c>
      <c r="P83" s="295">
        <v>-7568325507.3666296</v>
      </c>
      <c r="Q83" s="295">
        <v>2077954020.4772973</v>
      </c>
      <c r="R83" s="295">
        <v>-9646279527.8439236</v>
      </c>
      <c r="S83" s="295">
        <v>-968920079.18318892</v>
      </c>
      <c r="T83" s="295">
        <v>-8677359448.6607361</v>
      </c>
      <c r="U83" s="353"/>
      <c r="V83" s="295">
        <v>-1778018561.2177029</v>
      </c>
      <c r="W83" s="295">
        <v>651538230.85147095</v>
      </c>
      <c r="X83" s="295">
        <v>-2429556792.0691872</v>
      </c>
      <c r="Y83" s="295">
        <v>104689043.99690819</v>
      </c>
      <c r="Z83" s="295">
        <v>-2534245836.0660973</v>
      </c>
      <c r="AA83" s="295">
        <v>-11218140441.956089</v>
      </c>
      <c r="AB83" s="295">
        <v>8683894605.8900051</v>
      </c>
      <c r="AC83" s="353"/>
      <c r="AD83" s="295">
        <v>19281229064.427052</v>
      </c>
      <c r="AE83" s="295">
        <v>11246286414.942348</v>
      </c>
      <c r="AF83" s="295">
        <v>8034942649.484724</v>
      </c>
      <c r="AG83" s="295">
        <v>3528646294.0647197</v>
      </c>
      <c r="AH83" s="295">
        <v>4506296355.4199877</v>
      </c>
      <c r="AI83" s="295">
        <v>2432155621.7499986</v>
      </c>
      <c r="AJ83" s="295">
        <v>2074140733.6699939</v>
      </c>
    </row>
    <row r="84" spans="1:36" ht="15" customHeight="1" x14ac:dyDescent="0.25">
      <c r="A84" s="30" t="s">
        <v>469</v>
      </c>
      <c r="B84" s="31"/>
      <c r="C84" s="290" t="s">
        <v>479</v>
      </c>
      <c r="D84" s="46"/>
      <c r="E84" s="295">
        <v>28884599679.116665</v>
      </c>
      <c r="F84" s="295">
        <v>28209495077.949112</v>
      </c>
      <c r="H84" s="295">
        <v>20012027405.492558</v>
      </c>
      <c r="I84" s="353"/>
      <c r="K84" s="296" t="s">
        <v>530</v>
      </c>
      <c r="L84" s="106"/>
      <c r="M84" s="106"/>
      <c r="N84" s="295">
        <v>69463963992.314606</v>
      </c>
      <c r="O84" s="295">
        <v>20012027405.492558</v>
      </c>
      <c r="P84" s="295">
        <v>49413517729.146637</v>
      </c>
      <c r="Q84" s="295">
        <v>11034921577.498711</v>
      </c>
      <c r="R84" s="295">
        <v>38378596151.647934</v>
      </c>
      <c r="S84" s="295">
        <v>10169101073.698835</v>
      </c>
      <c r="T84" s="295">
        <v>28209495077.949112</v>
      </c>
      <c r="U84" s="353"/>
      <c r="V84" s="295">
        <v>32176006605.796719</v>
      </c>
      <c r="W84" s="295">
        <v>18540026980.767979</v>
      </c>
      <c r="X84" s="295">
        <v>13635979625.028664</v>
      </c>
      <c r="Y84" s="295">
        <v>-2356375086.7725134</v>
      </c>
      <c r="Z84" s="295">
        <v>15992354711.801195</v>
      </c>
      <c r="AA84" s="295">
        <v>3879080016.2640419</v>
      </c>
      <c r="AB84" s="295">
        <v>12113274695.53722</v>
      </c>
      <c r="AC84" s="353"/>
      <c r="AD84" s="295">
        <v>18797308913.943115</v>
      </c>
      <c r="AE84" s="295">
        <v>13181215249.791313</v>
      </c>
      <c r="AF84" s="295">
        <v>5616093664.1517773</v>
      </c>
      <c r="AG84" s="295">
        <v>11316027085.516167</v>
      </c>
      <c r="AH84" s="295">
        <v>-5699933421.3643818</v>
      </c>
      <c r="AI84" s="295">
        <v>4590380356.9654827</v>
      </c>
      <c r="AJ84" s="295">
        <v>-10290313778.329865</v>
      </c>
    </row>
    <row r="85" spans="1:36" ht="15" customHeight="1" x14ac:dyDescent="0.25">
      <c r="A85" s="30" t="s">
        <v>439</v>
      </c>
      <c r="B85" s="31"/>
      <c r="C85" s="145" t="s">
        <v>439</v>
      </c>
      <c r="D85" s="46"/>
      <c r="E85" s="215">
        <v>3140186655.4205523</v>
      </c>
      <c r="F85" s="215">
        <v>2925468621.539999</v>
      </c>
      <c r="H85" s="215">
        <v>913770266.23597395</v>
      </c>
      <c r="I85" s="353"/>
      <c r="K85" s="67" t="s">
        <v>530</v>
      </c>
      <c r="L85" s="106"/>
      <c r="M85" s="106"/>
      <c r="N85" s="215">
        <v>18149335326.087837</v>
      </c>
      <c r="O85" s="215">
        <v>913770266.23597395</v>
      </c>
      <c r="P85" s="215">
        <v>17235565059.851868</v>
      </c>
      <c r="Q85" s="215">
        <v>4052722188.149785</v>
      </c>
      <c r="R85" s="215">
        <v>13182842871.702082</v>
      </c>
      <c r="S85" s="215">
        <v>10257374250.162083</v>
      </c>
      <c r="T85" s="215">
        <v>2925468621.539999</v>
      </c>
      <c r="U85" s="353"/>
      <c r="V85" s="215">
        <v>23267873486.099995</v>
      </c>
      <c r="W85" s="215">
        <v>1925343121.8699985</v>
      </c>
      <c r="X85" s="215">
        <v>21342530364.229996</v>
      </c>
      <c r="Y85" s="215">
        <v>5264253576.5999994</v>
      </c>
      <c r="Z85" s="215">
        <v>16078276787.630003</v>
      </c>
      <c r="AA85" s="215">
        <v>11586923683.800003</v>
      </c>
      <c r="AB85" s="215">
        <v>4491353103.829999</v>
      </c>
      <c r="AC85" s="353"/>
      <c r="AD85" s="215">
        <v>7023308295.9900017</v>
      </c>
      <c r="AE85" s="215">
        <v>6313022712.7099981</v>
      </c>
      <c r="AF85" s="215">
        <v>710285583.28000164</v>
      </c>
      <c r="AG85" s="215">
        <v>2411811206.27</v>
      </c>
      <c r="AH85" s="215">
        <v>-1701525622.990001</v>
      </c>
      <c r="AI85" s="215">
        <v>-934167499.21999931</v>
      </c>
      <c r="AJ85" s="215">
        <v>-767358123.76999831</v>
      </c>
    </row>
    <row r="86" spans="1:36" ht="18" customHeight="1" x14ac:dyDescent="0.25">
      <c r="A86" s="30" t="s">
        <v>110</v>
      </c>
      <c r="B86" s="31"/>
      <c r="C86" s="153" t="s">
        <v>110</v>
      </c>
      <c r="D86" s="46"/>
      <c r="E86" s="216">
        <v>32024786334.537216</v>
      </c>
      <c r="F86" s="216">
        <v>31134963699.489113</v>
      </c>
      <c r="H86" s="216">
        <v>20925797671.728531</v>
      </c>
      <c r="I86" s="354"/>
      <c r="K86" s="147" t="s">
        <v>530</v>
      </c>
      <c r="L86" s="107"/>
      <c r="M86" s="107"/>
      <c r="N86" s="216">
        <v>87613299318.402451</v>
      </c>
      <c r="O86" s="216">
        <v>20925797671.728531</v>
      </c>
      <c r="P86" s="216">
        <v>66649082788.998497</v>
      </c>
      <c r="Q86" s="216">
        <v>15087643765.648495</v>
      </c>
      <c r="R86" s="216">
        <v>51561439023.350014</v>
      </c>
      <c r="S86" s="216">
        <v>20426475323.86092</v>
      </c>
      <c r="T86" s="216">
        <v>31134963699.489113</v>
      </c>
      <c r="U86" s="354"/>
      <c r="V86" s="216">
        <v>55443880091.896713</v>
      </c>
      <c r="W86" s="216">
        <v>20465370102.637978</v>
      </c>
      <c r="X86" s="216">
        <v>34978509989.258659</v>
      </c>
      <c r="Y86" s="216">
        <v>2907878489.827486</v>
      </c>
      <c r="Z86" s="216">
        <v>32070631499.431198</v>
      </c>
      <c r="AA86" s="216">
        <v>15466003700.064045</v>
      </c>
      <c r="AB86" s="216">
        <v>16604627799.367218</v>
      </c>
      <c r="AC86" s="354"/>
      <c r="AD86" s="216">
        <v>25820617209.933117</v>
      </c>
      <c r="AE86" s="216">
        <v>19494237962.501312</v>
      </c>
      <c r="AF86" s="216">
        <v>6326379247.4317789</v>
      </c>
      <c r="AG86" s="216">
        <v>13727838291.786167</v>
      </c>
      <c r="AH86" s="216">
        <v>-7401459044.3543825</v>
      </c>
      <c r="AI86" s="216">
        <v>3656212857.7454834</v>
      </c>
      <c r="AJ86" s="216">
        <v>-11057671902.099863</v>
      </c>
    </row>
    <row r="87" spans="1:36" x14ac:dyDescent="0.2">
      <c r="A87" s="30" t="s">
        <v>119</v>
      </c>
      <c r="B87" s="31"/>
      <c r="C87" s="154" t="s">
        <v>116</v>
      </c>
      <c r="D87" s="148"/>
      <c r="E87" s="217">
        <v>34730525651.447067</v>
      </c>
      <c r="F87" s="217">
        <v>39749020260.339798</v>
      </c>
      <c r="G87" s="1"/>
      <c r="H87" s="217">
        <v>24509631148.968338</v>
      </c>
      <c r="I87" s="355"/>
      <c r="J87" s="1"/>
      <c r="K87" s="155" t="s">
        <v>530</v>
      </c>
      <c r="L87" s="149"/>
      <c r="M87" s="149"/>
      <c r="N87" s="217">
        <v>93294806670.824097</v>
      </c>
      <c r="O87" s="217">
        <v>24509631148.968338</v>
      </c>
      <c r="P87" s="217">
        <v>68746756664.180374</v>
      </c>
      <c r="Q87" s="217">
        <v>12486084895.02569</v>
      </c>
      <c r="R87" s="217">
        <v>56260671769.154724</v>
      </c>
      <c r="S87" s="217">
        <v>16511651508.814919</v>
      </c>
      <c r="T87" s="217">
        <v>39749020260.339798</v>
      </c>
      <c r="U87" s="355"/>
      <c r="V87" s="217">
        <v>55972115970.63443</v>
      </c>
      <c r="W87" s="217">
        <v>21070314118.426514</v>
      </c>
      <c r="X87" s="217">
        <v>34901801852.207855</v>
      </c>
      <c r="Y87" s="217">
        <v>3428627390.8405724</v>
      </c>
      <c r="Z87" s="217">
        <v>31473174461.36729</v>
      </c>
      <c r="AA87" s="217">
        <v>23726435067.890137</v>
      </c>
      <c r="AB87" s="217">
        <v>7746739393.4772282</v>
      </c>
      <c r="AC87" s="355"/>
      <c r="AD87" s="217">
        <v>6150221376.2260857</v>
      </c>
      <c r="AE87" s="217">
        <v>6897498963.8389988</v>
      </c>
      <c r="AF87" s="217">
        <v>-747277587.61287928</v>
      </c>
      <c r="AG87" s="217">
        <v>11276154436.231453</v>
      </c>
      <c r="AH87" s="217">
        <v>-12023432023.844378</v>
      </c>
      <c r="AI87" s="217">
        <v>-696449448.96452522</v>
      </c>
      <c r="AJ87" s="217">
        <v>-11326982574.879841</v>
      </c>
    </row>
    <row r="88" spans="1:36" x14ac:dyDescent="0.2">
      <c r="A88" s="30" t="s">
        <v>120</v>
      </c>
      <c r="B88" s="31"/>
      <c r="C88" s="154" t="s">
        <v>117</v>
      </c>
      <c r="D88" s="148"/>
      <c r="E88" s="217">
        <v>-2705739316.909863</v>
      </c>
      <c r="F88" s="217">
        <v>-8614056560.8507404</v>
      </c>
      <c r="G88" s="1"/>
      <c r="H88" s="217">
        <v>-3583833477.2397914</v>
      </c>
      <c r="I88" s="355"/>
      <c r="J88" s="1"/>
      <c r="K88" s="155" t="s">
        <v>530</v>
      </c>
      <c r="L88" s="149"/>
      <c r="M88" s="149"/>
      <c r="N88" s="217">
        <v>-5681507352.4217215</v>
      </c>
      <c r="O88" s="217">
        <v>-3583833477.2397914</v>
      </c>
      <c r="P88" s="217">
        <v>-2097673875.181942</v>
      </c>
      <c r="Q88" s="217">
        <v>2601558870.622798</v>
      </c>
      <c r="R88" s="217">
        <v>-4699232745.8047409</v>
      </c>
      <c r="S88" s="217">
        <v>3914823815.0459909</v>
      </c>
      <c r="T88" s="217">
        <v>-8614056560.8507404</v>
      </c>
      <c r="U88" s="355"/>
      <c r="V88" s="217">
        <v>-528235878.73770738</v>
      </c>
      <c r="W88" s="217">
        <v>-604944015.78852725</v>
      </c>
      <c r="X88" s="217">
        <v>76708137.050823748</v>
      </c>
      <c r="Y88" s="217">
        <v>-520748901.01309222</v>
      </c>
      <c r="Z88" s="217">
        <v>597457038.06390262</v>
      </c>
      <c r="AA88" s="217">
        <v>-8260431367.826088</v>
      </c>
      <c r="AB88" s="217">
        <v>8857888405.8899994</v>
      </c>
      <c r="AC88" s="355"/>
      <c r="AD88" s="217">
        <v>19670395833.707073</v>
      </c>
      <c r="AE88" s="217">
        <v>12596738998.66234</v>
      </c>
      <c r="AF88" s="217">
        <v>7073656835.0447321</v>
      </c>
      <c r="AG88" s="217">
        <v>2451683855.5547194</v>
      </c>
      <c r="AH88" s="217">
        <v>4621972979.4899874</v>
      </c>
      <c r="AI88" s="217">
        <v>4352662306.710001</v>
      </c>
      <c r="AJ88" s="217">
        <v>269310672.77999479</v>
      </c>
    </row>
    <row r="89" spans="1:36" hidden="1" outlineLevel="1" x14ac:dyDescent="0.2">
      <c r="A89" s="138"/>
      <c r="B89" s="2"/>
      <c r="C89" s="39"/>
      <c r="D89" s="46"/>
      <c r="E89" s="157">
        <f>ROUND(E86-SUM(E71,E75,E76,E79,E83,E85)+E84-(E71+E75+E76+E79+E83)+E86-(E87+E88)+E82-(E71+E75+E76+E79),3)</f>
        <v>0</v>
      </c>
      <c r="F89" s="157">
        <f t="shared" ref="F89:AJ89" si="11">ROUND(F86-SUM(F71,F75,F76,F79,F83,F85)+F84-(F71+F75+F76+F79+F83)+F86-(F87+F88)+F82-(F71+F75+F76+F79),3)</f>
        <v>0</v>
      </c>
      <c r="G89" s="157"/>
      <c r="H89" s="157">
        <f t="shared" si="11"/>
        <v>0</v>
      </c>
      <c r="I89" s="157"/>
      <c r="J89" s="157"/>
      <c r="K89" s="157" t="e">
        <f t="shared" si="11"/>
        <v>#VALUE!</v>
      </c>
      <c r="L89" s="157">
        <f t="shared" si="11"/>
        <v>0</v>
      </c>
      <c r="M89" s="157"/>
      <c r="N89" s="157">
        <f t="shared" si="11"/>
        <v>0</v>
      </c>
      <c r="O89" s="157">
        <f t="shared" si="11"/>
        <v>0</v>
      </c>
      <c r="P89" s="157">
        <f t="shared" si="11"/>
        <v>0</v>
      </c>
      <c r="Q89" s="157">
        <f t="shared" si="11"/>
        <v>0</v>
      </c>
      <c r="R89" s="157">
        <f t="shared" si="11"/>
        <v>0</v>
      </c>
      <c r="S89" s="157">
        <f t="shared" si="11"/>
        <v>0</v>
      </c>
      <c r="T89" s="157">
        <f t="shared" si="11"/>
        <v>0</v>
      </c>
      <c r="U89" s="157"/>
      <c r="V89" s="157">
        <f t="shared" si="11"/>
        <v>0</v>
      </c>
      <c r="W89" s="157">
        <f t="shared" si="11"/>
        <v>0</v>
      </c>
      <c r="X89" s="157">
        <f t="shared" si="11"/>
        <v>0</v>
      </c>
      <c r="Y89" s="157">
        <f t="shared" si="11"/>
        <v>0</v>
      </c>
      <c r="Z89" s="157">
        <f t="shared" si="11"/>
        <v>0</v>
      </c>
      <c r="AA89" s="157">
        <f t="shared" si="11"/>
        <v>0</v>
      </c>
      <c r="AB89" s="157">
        <f t="shared" si="11"/>
        <v>0</v>
      </c>
      <c r="AC89" s="157"/>
      <c r="AD89" s="157">
        <f t="shared" si="11"/>
        <v>0</v>
      </c>
      <c r="AE89" s="157">
        <f t="shared" si="11"/>
        <v>0</v>
      </c>
      <c r="AF89" s="157">
        <f t="shared" si="11"/>
        <v>0</v>
      </c>
      <c r="AG89" s="157">
        <f t="shared" si="11"/>
        <v>0</v>
      </c>
      <c r="AH89" s="157">
        <f t="shared" si="11"/>
        <v>0</v>
      </c>
      <c r="AI89" s="157">
        <f t="shared" si="11"/>
        <v>0</v>
      </c>
      <c r="AJ89" s="157">
        <f t="shared" si="11"/>
        <v>0</v>
      </c>
    </row>
    <row r="90" spans="1:36" ht="12" collapsed="1" x14ac:dyDescent="0.2">
      <c r="C90" s="897" t="s">
        <v>480</v>
      </c>
      <c r="D90" s="897"/>
      <c r="E90" s="897"/>
      <c r="F90" s="897"/>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H90" s="36"/>
      <c r="AI90" s="36"/>
      <c r="AJ90" s="36"/>
    </row>
    <row r="91" spans="1:36" ht="51" customHeight="1" x14ac:dyDescent="0.2">
      <c r="C91" s="897" t="s">
        <v>219</v>
      </c>
      <c r="D91" s="897"/>
      <c r="E91" s="897"/>
      <c r="F91" s="897"/>
      <c r="N91" s="897" t="s">
        <v>219</v>
      </c>
      <c r="O91" s="897"/>
      <c r="P91" s="897"/>
      <c r="Q91" s="897"/>
      <c r="R91" s="897"/>
      <c r="S91" s="897"/>
      <c r="T91" s="897"/>
    </row>
  </sheetData>
  <mergeCells count="6">
    <mergeCell ref="C24:F24"/>
    <mergeCell ref="C91:F91"/>
    <mergeCell ref="N91:T91"/>
    <mergeCell ref="C90:F90"/>
    <mergeCell ref="C67:F67"/>
    <mergeCell ref="C43:F43"/>
  </mergeCells>
  <pageMargins left="0.39370078740157483" right="0.39370078740157483" top="0.39370078740157483" bottom="0.59055118110236227" header="0.31496062992125984" footer="0.19685039370078741"/>
  <pageSetup paperSize="9" scale="59" orientation="landscape" r:id="rId1"/>
  <headerFooter>
    <oddFooter>&amp;L&amp;"Arial Black,Normal"&amp;F - &amp;A&amp;C&amp;"Arial Black,Normal"&amp;8p. &amp;P / &amp;N&amp;R&amp;"Arial Narrow,Normal"&amp;8&amp;G</oddFooter>
  </headerFooter>
  <legacy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B89A7-89BF-4C1C-A6FC-F27A10506436}">
  <sheetPr>
    <pageSetUpPr fitToPage="1"/>
  </sheetPr>
  <dimension ref="A1:AK29"/>
  <sheetViews>
    <sheetView showGridLines="0" topLeftCell="A5" zoomScaleNormal="100" workbookViewId="0">
      <pane xSplit="4" topLeftCell="E1" activePane="topRight" state="frozen"/>
      <selection activeCell="L26" sqref="L26"/>
      <selection pane="topRight"/>
    </sheetView>
  </sheetViews>
  <sheetFormatPr defaultColWidth="9.125" defaultRowHeight="11.4" outlineLevelRow="1" outlineLevelCol="1" x14ac:dyDescent="0.2"/>
  <cols>
    <col min="1" max="1" width="25.75" hidden="1" customWidth="1" outlineLevel="1"/>
    <col min="2" max="2" width="2.75" customWidth="1" collapsed="1"/>
    <col min="3" max="3" width="45.625" customWidth="1"/>
    <col min="4" max="4" width="2.75" style="55" customWidth="1"/>
    <col min="5" max="9" width="10.125" customWidth="1"/>
    <col min="10" max="10" width="2.75" customWidth="1"/>
    <col min="11" max="12" width="10.625" hidden="1" customWidth="1"/>
    <col min="13" max="13" width="4.625" customWidth="1"/>
    <col min="14" max="20" width="10.125" customWidth="1"/>
    <col min="21" max="21" width="4.625" customWidth="1"/>
    <col min="22" max="28" width="10.125" customWidth="1"/>
    <col min="29" max="29" width="4.625" customWidth="1"/>
    <col min="30" max="36" width="10.125" customWidth="1"/>
    <col min="37" max="37" width="12.75" customWidth="1"/>
    <col min="38" max="38" width="9.625" customWidth="1"/>
  </cols>
  <sheetData>
    <row r="1" spans="1:37" hidden="1" outlineLevel="1" x14ac:dyDescent="0.2">
      <c r="C1" s="30" t="s">
        <v>149</v>
      </c>
      <c r="D1" s="340"/>
      <c r="E1" s="817">
        <f>DateRef</f>
        <v>46112</v>
      </c>
      <c r="F1" s="817">
        <f>EOMONTH($E$1,-12)</f>
        <v>45747</v>
      </c>
      <c r="G1" s="818"/>
      <c r="H1" s="817">
        <f>EOMONTH($E$1,-3)</f>
        <v>46022</v>
      </c>
      <c r="I1" s="341"/>
      <c r="K1" s="341">
        <f>EOMONTH($E$1,-MONTH($E$1))</f>
        <v>46022</v>
      </c>
      <c r="L1" s="3"/>
      <c r="M1" s="3"/>
      <c r="N1" s="817">
        <v>46022</v>
      </c>
      <c r="P1" s="817">
        <f>EOMONTH(N1,-3)</f>
        <v>45930</v>
      </c>
      <c r="R1" s="817">
        <f>EOMONTH(P1,-3)</f>
        <v>45838</v>
      </c>
      <c r="T1" s="817">
        <f>EOMONTH(R1,-3)</f>
        <v>45747</v>
      </c>
      <c r="V1" s="817">
        <f>EOMONTH(T1,-3)</f>
        <v>45657</v>
      </c>
      <c r="X1" s="817">
        <f>EOMONTH(V1,-3)</f>
        <v>45565</v>
      </c>
      <c r="Z1" s="817">
        <f>EOMONTH(X1,-3)</f>
        <v>45473</v>
      </c>
      <c r="AB1" s="817">
        <f>EOMONTH(Z1,-3)</f>
        <v>45382</v>
      </c>
      <c r="AC1" s="341"/>
      <c r="AD1" s="817">
        <f>EOMONTH(AB1,-3)</f>
        <v>45291</v>
      </c>
      <c r="AF1" s="817">
        <f>EOMONTH(AD1,-3)</f>
        <v>45199</v>
      </c>
      <c r="AH1" s="817">
        <f>EOMONTH(AF1,-3)</f>
        <v>45107</v>
      </c>
      <c r="AI1" s="341"/>
      <c r="AJ1" s="817">
        <f>EOMONTH(AH1,-3)</f>
        <v>45016</v>
      </c>
      <c r="AK1" s="341"/>
    </row>
    <row r="2" spans="1:37" hidden="1" outlineLevel="1" x14ac:dyDescent="0.2">
      <c r="C2" s="30" t="s">
        <v>146</v>
      </c>
      <c r="D2" s="343">
        <v>45565</v>
      </c>
      <c r="E2" s="819" t="str">
        <f>DateYtd</f>
        <v>2026Mar</v>
      </c>
      <c r="F2" s="819" t="str" cm="1">
        <f t="array" ref="F2">YEAR(EOMONTH(DateRef,-12))&amp;INDEX(TableYtd,MONTH(EOMONTH(DateRef,-12)),1)</f>
        <v>2025Mar</v>
      </c>
      <c r="G2" s="818"/>
      <c r="H2" s="819" t="str" cm="1">
        <f t="array" ref="H2">YEAR(EOMONTH(DateRef,-3))&amp;INDEX(TableYtd,MONTH(EOMONTH(DateRef,-3)),1)</f>
        <v>2025Dec</v>
      </c>
      <c r="I2" s="342"/>
      <c r="K2" s="3" t="str" cm="1">
        <f t="array" ref="K2">YEAR(EOMONTH(DateRef,-MONTH(DateRef)))&amp;INDEX(TableYtd,MONTH(EOMONTH(DateRef,-MONTH(DateRef))),1)</f>
        <v>2025Dec</v>
      </c>
      <c r="L2" s="3"/>
      <c r="M2" s="3"/>
      <c r="N2" s="819" t="str" cm="1">
        <f t="array" ref="N2">YEAR(N1)&amp;INDEX(TableYtd,MONTH(N1),1)</f>
        <v>2025Dec</v>
      </c>
      <c r="P2" s="819" t="str" cm="1">
        <f t="array" ref="P2">YEAR(P1)&amp;INDEX(TableYtd,MONTH(P1),1)</f>
        <v>2025Sep</v>
      </c>
      <c r="R2" s="819" t="str" cm="1">
        <f t="array" ref="R2">YEAR(R1)&amp;INDEX(TableYtd,MONTH(R1),1)</f>
        <v>2025Jun</v>
      </c>
      <c r="T2" s="819" t="str" cm="1">
        <f t="array" ref="T2">YEAR(T1)&amp;INDEX(TableYtd,MONTH(T1),1)</f>
        <v>2025Mar</v>
      </c>
      <c r="V2" s="819" t="str" cm="1">
        <f t="array" ref="V2">YEAR(V1)&amp;INDEX(TableYtd,MONTH(V1),1)</f>
        <v>2024Dec</v>
      </c>
      <c r="X2" s="819" t="str" cm="1">
        <f t="array" ref="X2">YEAR(X1)&amp;INDEX(TableYtd,MONTH(X1),1)</f>
        <v>2024Sep</v>
      </c>
      <c r="Z2" s="819" t="str" cm="1">
        <f t="array" ref="Z2">YEAR(Z1)&amp;INDEX(TableYtd,MONTH(Z1),1)</f>
        <v>2024Jun</v>
      </c>
      <c r="AB2" s="819" t="str" cm="1">
        <f t="array" ref="AB2">YEAR(AB1)&amp;INDEX(TableYtd,MONTH(AB1),1)</f>
        <v>2024Mar</v>
      </c>
      <c r="AC2" s="3"/>
      <c r="AD2" s="819" t="str" cm="1">
        <f t="array" ref="AD2">YEAR(AD1)&amp;INDEX(TableYtd,MONTH(AD1),1)</f>
        <v>2023Dec</v>
      </c>
      <c r="AF2" s="819" t="str" cm="1">
        <f t="array" ref="AF2">YEAR(AF1)&amp;INDEX(TableYtd,MONTH(AF1),1)</f>
        <v>2023Sep</v>
      </c>
      <c r="AH2" s="819" t="str" cm="1">
        <f t="array" ref="AH2">YEAR(AH1)&amp;INDEX(TableYtd,MONTH(AH1),1)</f>
        <v>2023Jun</v>
      </c>
      <c r="AI2" s="134"/>
      <c r="AJ2" s="819" t="str" cm="1">
        <f t="array" ref="AJ2">YEAR(AJ1)&amp;INDEX(TableYtd,MONTH(AJ1),1)</f>
        <v>2023Mar</v>
      </c>
      <c r="AK2" s="3"/>
    </row>
    <row r="3" spans="1:37" hidden="1" outlineLevel="1" x14ac:dyDescent="0.2">
      <c r="C3" s="30" t="s">
        <v>155</v>
      </c>
      <c r="D3" s="340"/>
      <c r="E3" s="810">
        <f>DateRef</f>
        <v>46112</v>
      </c>
      <c r="F3" s="810">
        <f>EOMONTH($E$1,-12)</f>
        <v>45747</v>
      </c>
      <c r="G3" s="811"/>
      <c r="H3" s="810">
        <f>EOMONTH($E$3,-3)</f>
        <v>46022</v>
      </c>
      <c r="I3" s="341">
        <f>EOMONTH(H3,-12)</f>
        <v>45657</v>
      </c>
      <c r="K3" s="341">
        <f>EOMONTH(H3,-3)</f>
        <v>45930</v>
      </c>
      <c r="M3" s="3"/>
      <c r="N3" s="817">
        <v>46022</v>
      </c>
      <c r="O3" s="817">
        <v>46022</v>
      </c>
      <c r="P3" s="810">
        <f>EOMONTH(N3,-3)</f>
        <v>45930</v>
      </c>
      <c r="Q3" s="810">
        <f>EOMONTH(O3,-3)</f>
        <v>45930</v>
      </c>
      <c r="R3" s="810">
        <f>EOMONTH(P3,-3)</f>
        <v>45838</v>
      </c>
      <c r="S3" s="810">
        <f>EOMONTH(Q3,-3)</f>
        <v>45838</v>
      </c>
      <c r="T3" s="810">
        <f>EOMONTH(R3,-3)</f>
        <v>45747</v>
      </c>
      <c r="U3" s="810"/>
      <c r="V3" s="817">
        <v>45657</v>
      </c>
      <c r="W3" s="817">
        <v>45657</v>
      </c>
      <c r="X3" s="810">
        <f>EOMONTH(V3,-3)</f>
        <v>45565</v>
      </c>
      <c r="Y3" s="810">
        <f>EOMONTH(W3,-3)</f>
        <v>45565</v>
      </c>
      <c r="Z3" s="810">
        <f>EOMONTH(X3,-3)</f>
        <v>45473</v>
      </c>
      <c r="AA3" s="810">
        <f>EOMONTH(Y3,-3)</f>
        <v>45473</v>
      </c>
      <c r="AB3" s="810">
        <f>EOMONTH(Z3,-3)</f>
        <v>45382</v>
      </c>
      <c r="AC3" s="810"/>
      <c r="AD3" s="817">
        <v>45291</v>
      </c>
      <c r="AE3" s="817">
        <v>45291</v>
      </c>
      <c r="AF3" s="810">
        <f>EOMONTH(AD3,-3)</f>
        <v>45199</v>
      </c>
      <c r="AG3" s="810">
        <f>EOMONTH(AE3,-3)</f>
        <v>45199</v>
      </c>
      <c r="AH3" s="810">
        <f>EOMONTH(AF3,-3)</f>
        <v>45107</v>
      </c>
      <c r="AI3" s="810">
        <f>EOMONTH(AG3,-3)</f>
        <v>45107</v>
      </c>
      <c r="AJ3" s="810">
        <f>EOMONTH(AH3,-3)</f>
        <v>45016</v>
      </c>
      <c r="AK3" s="341"/>
    </row>
    <row r="4" spans="1:37" hidden="1" outlineLevel="1" x14ac:dyDescent="0.2">
      <c r="C4" s="30" t="s">
        <v>147</v>
      </c>
      <c r="D4" s="340"/>
      <c r="E4" s="812" t="str">
        <f>DateYtd</f>
        <v>2026Mar</v>
      </c>
      <c r="F4" s="812" t="str" cm="1">
        <f t="array" ref="F4">YEAR(EOMONTH(DateRef,-12))&amp;INDEX(TableYtd,MONTH(EOMONTH(DateRef,-12)),1)</f>
        <v>2025Mar</v>
      </c>
      <c r="G4" s="811"/>
      <c r="H4" s="812" t="s">
        <v>460</v>
      </c>
      <c r="I4" s="3" t="str">
        <f>YEAR(I$3)&amp;"Q"&amp;MONTH(I$3)/3</f>
        <v>2024Q4</v>
      </c>
      <c r="K4" s="3" t="str">
        <f>YEAR(K$3)&amp;"Q"&amp;MONTH(K$3)/3</f>
        <v>2025Q3</v>
      </c>
      <c r="M4" s="3"/>
      <c r="N4" s="819" t="str" cm="1">
        <f t="array" ref="N4">YEAR(N3)&amp;INDEX(TableYtd,MONTH(N3),1)</f>
        <v>2025Dec</v>
      </c>
      <c r="O4" s="812" t="str">
        <f>YEAR(O3)&amp;"Q"&amp;MONTH(O3)/3</f>
        <v>2025Q4</v>
      </c>
      <c r="P4" s="819" t="str" cm="1">
        <f t="array" ref="P4">YEAR(P3)&amp;INDEX(TableYtd,MONTH(P3),1)</f>
        <v>2025Sep</v>
      </c>
      <c r="Q4" s="812" t="str">
        <f>YEAR(Q3)&amp;"Q"&amp;MONTH(Q3)/3</f>
        <v>2025Q3</v>
      </c>
      <c r="R4" s="819" t="str" cm="1">
        <f t="array" ref="R4">YEAR(R3)&amp;INDEX(TableYtd,MONTH(R3),1)</f>
        <v>2025Jun</v>
      </c>
      <c r="S4" s="812" t="str">
        <f>YEAR(S3)&amp;"Q"&amp;MONTH(S3)/3</f>
        <v>2025Q2</v>
      </c>
      <c r="T4" s="812" t="str">
        <f>YEAR(T3)&amp;"Q"&amp;MONTH(T3)/3</f>
        <v>2025Q1</v>
      </c>
      <c r="U4" s="812"/>
      <c r="V4" s="819" t="str" cm="1">
        <f t="array" ref="V4">YEAR(V3)&amp;INDEX(TableYtd,MONTH(V3),1)</f>
        <v>2024Dec</v>
      </c>
      <c r="W4" s="812" t="str">
        <f>YEAR(W3)&amp;"Q"&amp;MONTH(W3)/3</f>
        <v>2024Q4</v>
      </c>
      <c r="X4" s="819" t="str" cm="1">
        <f t="array" ref="X4">YEAR(X3)&amp;INDEX(TableYtd,MONTH(X3),1)</f>
        <v>2024Sep</v>
      </c>
      <c r="Y4" s="812" t="str">
        <f>YEAR(Y3)&amp;"Q"&amp;MONTH(Y3)/3</f>
        <v>2024Q3</v>
      </c>
      <c r="Z4" s="819" t="str" cm="1">
        <f t="array" ref="Z4">YEAR(Z3)&amp;INDEX(TableYtd,MONTH(Z3),1)</f>
        <v>2024Jun</v>
      </c>
      <c r="AA4" s="812" t="str">
        <f>YEAR(AA3)&amp;"Q"&amp;MONTH(AA3)/3</f>
        <v>2024Q2</v>
      </c>
      <c r="AB4" s="812" t="str">
        <f>YEAR(AB3)&amp;"Q"&amp;MONTH(AB3)/3</f>
        <v>2024Q1</v>
      </c>
      <c r="AC4" s="812"/>
      <c r="AD4" s="819" t="str" cm="1">
        <f t="array" ref="AD4">YEAR(AD3)&amp;INDEX(TableYtd,MONTH(AD3),1)</f>
        <v>2023Dec</v>
      </c>
      <c r="AE4" s="812" t="str">
        <f>YEAR(AE3)&amp;"Q"&amp;MONTH(AE3)/3</f>
        <v>2023Q4</v>
      </c>
      <c r="AF4" s="819" t="str" cm="1">
        <f t="array" ref="AF4">YEAR(AF3)&amp;INDEX(TableYtd,MONTH(AF3),1)</f>
        <v>2023Sep</v>
      </c>
      <c r="AG4" s="812" t="str">
        <f>YEAR(AG3)&amp;"Q"&amp;MONTH(AG3)/3</f>
        <v>2023Q3</v>
      </c>
      <c r="AH4" s="819" t="str" cm="1">
        <f t="array" ref="AH4">YEAR(AH3)&amp;INDEX(TableYtd,MONTH(AH3),1)</f>
        <v>2023Jun</v>
      </c>
      <c r="AI4" s="812" t="str">
        <f>YEAR(AI3)&amp;"Q"&amp;MONTH(AI3)/3</f>
        <v>2023Q2</v>
      </c>
      <c r="AJ4" s="812" t="str">
        <f>YEAR(AJ3)&amp;"Q"&amp;MONTH(AJ3)/3</f>
        <v>2023Q1</v>
      </c>
      <c r="AK4" s="3"/>
    </row>
    <row r="5" spans="1:37" ht="14.25" customHeight="1" collapsed="1" x14ac:dyDescent="0.2">
      <c r="C5" s="45"/>
      <c r="D5" s="45"/>
    </row>
    <row r="6" spans="1:37" ht="17.399999999999999" x14ac:dyDescent="0.3">
      <c r="C6" s="77" t="s">
        <v>175</v>
      </c>
      <c r="D6" s="89"/>
      <c r="E6" s="90">
        <f>DateRef</f>
        <v>46112</v>
      </c>
      <c r="F6" s="91"/>
    </row>
    <row r="7" spans="1:37" ht="17.399999999999999" x14ac:dyDescent="0.3">
      <c r="C7" s="100" t="s">
        <v>168</v>
      </c>
      <c r="D7" s="89"/>
      <c r="E7" s="90"/>
      <c r="F7" s="91"/>
      <c r="N7" s="77" t="s">
        <v>185</v>
      </c>
    </row>
    <row r="8" spans="1:37" ht="28.5" customHeight="1" x14ac:dyDescent="0.25">
      <c r="A8" s="135" t="s">
        <v>150</v>
      </c>
      <c r="B8" s="2"/>
      <c r="C8" s="4" t="s">
        <v>107</v>
      </c>
      <c r="D8" s="46"/>
      <c r="E8" s="199" t="str">
        <f>"AuM 
"&amp;TEXT(DAY(E$1),"00")&amp;"."&amp;TEXT(MONTH(E$1),"00")&amp;"."&amp;YEAR(E$1)</f>
        <v>AuM 
31.03.2026</v>
      </c>
      <c r="F8" s="199" t="str">
        <f>"AuM 
"&amp;TEXT(DAY(F$1),"00")&amp;"."&amp;TEXT(MONTH(F$1),"00")&amp;"."&amp;YEAR(F$1)</f>
        <v>AuM 
31.03.2025</v>
      </c>
      <c r="G8" s="199" t="s">
        <v>103</v>
      </c>
      <c r="H8" s="199" t="str">
        <f>"AuM 
"&amp;TEXT(DAY(H$1),"00")&amp;"."&amp;TEXT(MONTH(H$1),"00")&amp;"."&amp;YEAR(H$1)</f>
        <v>AuM 
31.12.2025</v>
      </c>
      <c r="I8" s="199" t="s">
        <v>104</v>
      </c>
      <c r="K8" s="38" t="str">
        <f>"AuM 
"&amp;TEXT(DAY(K$1),"00")&amp;"."&amp;TEXT(MONTH(K$1),"00")&amp;"."&amp;YEAR(K$1)</f>
        <v>AuM 
31.12.2025</v>
      </c>
      <c r="L8" s="38" t="str">
        <f>"%ch. 
/ "&amp;TEXT(DAY(K$1),"00")&amp;"."&amp;TEXT(MONTH(K$1),"00")&amp;"."&amp;YEAR(K$1)</f>
        <v>%ch. 
/ 31.12.2025</v>
      </c>
      <c r="N8" s="199" t="str">
        <f>"AuM 
"&amp;TEXT(DAY(N$1),"00")&amp;"."&amp;TEXT(MONTH(N$1),"00")&amp;"."&amp;YEAR(N$1)</f>
        <v>AuM 
31.12.2025</v>
      </c>
      <c r="P8" s="199" t="str">
        <f>"AuM 
"&amp;TEXT(DAY(P$1),"00")&amp;"."&amp;TEXT(MONTH(P$1),"00")&amp;"."&amp;YEAR(P$1)</f>
        <v>AuM 
30.09.2025</v>
      </c>
      <c r="R8" s="199" t="str">
        <f>"AuM 
"&amp;TEXT(DAY(R$1),"00")&amp;"."&amp;TEXT(MONTH(R$1),"00")&amp;"."&amp;YEAR(R$1)</f>
        <v>AuM 
30.06.2025</v>
      </c>
      <c r="T8" s="199" t="str">
        <f>"AuM 
"&amp;TEXT(DAY(T$1),"00")&amp;"."&amp;TEXT(MONTH(T$1),"00")&amp;"."&amp;YEAR(T$1)</f>
        <v>AuM 
31.03.2025</v>
      </c>
      <c r="V8" s="199" t="str">
        <f>"AuM 
"&amp;TEXT(DAY(V$1),"00")&amp;"."&amp;TEXT(MONTH(V$1),"00")&amp;"."&amp;YEAR(V$1)</f>
        <v>AuM 
31.12.2024</v>
      </c>
      <c r="X8" s="199" t="str">
        <f>"AuM 
"&amp;TEXT(DAY(X$1),"00")&amp;"."&amp;TEXT(MONTH(X$1),"00")&amp;"."&amp;YEAR(X$1)</f>
        <v>AuM 
30.09.2024</v>
      </c>
      <c r="Z8" s="199" t="str">
        <f>"AuM 
"&amp;TEXT(DAY(Z$1),"00")&amp;"."&amp;TEXT(MONTH(Z$1),"00")&amp;"."&amp;YEAR(Z$1)</f>
        <v>AuM 
30.06.2024</v>
      </c>
      <c r="AB8" s="199" t="str">
        <f>"AuM 
"&amp;TEXT(DAY(AB$1),"00")&amp;"."&amp;TEXT(MONTH(AB$1),"00")&amp;"."&amp;YEAR(AB$1)</f>
        <v>AuM 
31.03.2024</v>
      </c>
      <c r="AC8" s="339"/>
      <c r="AD8" s="199" t="str">
        <f>"AuM 
"&amp;TEXT(DAY(AD$1),"00")&amp;"."&amp;TEXT(MONTH(AD$1),"00")&amp;"."&amp;YEAR(AD$1)</f>
        <v>AuM 
31.12.2023</v>
      </c>
      <c r="AF8" s="199" t="str">
        <f>"AuM 
"&amp;TEXT(DAY(AF$1),"00")&amp;"."&amp;TEXT(MONTH(AF$1),"00")&amp;"."&amp;YEAR(AF$1)</f>
        <v>AuM 
30.09.2023</v>
      </c>
      <c r="AH8" s="199" t="str">
        <f>"AuM 
"&amp;TEXT(DAY(AH$1),"00")&amp;"."&amp;TEXT(MONTH(AH$1),"00")&amp;"."&amp;YEAR(AH$1)</f>
        <v>AuM 
30.06.2023</v>
      </c>
      <c r="AJ8" s="199" t="str">
        <f>"AuM 
"&amp;TEXT(DAY(AJ$1),"00")&amp;"."&amp;TEXT(MONTH(AJ$1),"00")&amp;"."&amp;YEAR(AJ$1)</f>
        <v>AuM 
31.03.2023</v>
      </c>
    </row>
    <row r="9" spans="1:37" ht="15" customHeight="1" x14ac:dyDescent="0.25">
      <c r="A9" s="137" t="s">
        <v>121</v>
      </c>
      <c r="B9" s="31"/>
      <c r="C9" s="56" t="s">
        <v>121</v>
      </c>
      <c r="D9" s="47"/>
      <c r="E9" s="220">
        <v>1073099350127.2629</v>
      </c>
      <c r="F9" s="220">
        <v>1000906229905.21</v>
      </c>
      <c r="G9" s="356">
        <f t="shared" ref="G9:I15" si="0">IF(ISERROR($E9*F9),"NM",IF($E9*F9&gt;0,IF($E9/F9&gt;2,"NM",$E9/F9-1),"NM"))</f>
        <v>7.21277558926674E-2</v>
      </c>
      <c r="H9" s="220">
        <v>1050505743681.7012</v>
      </c>
      <c r="I9" s="356">
        <f t="shared" si="0"/>
        <v>2.1507361174797568E-2</v>
      </c>
      <c r="K9" s="114" t="s">
        <v>530</v>
      </c>
      <c r="L9" s="69" t="str">
        <f t="shared" ref="L9:L15" si="1">IF(ISERROR($E9*K9),"NM",IF($E9*K9&gt;0,IF($E9/K9&gt;2,"NM",$E9/K9-1),"NM"))</f>
        <v>NM</v>
      </c>
      <c r="N9" s="220">
        <v>1050505743681.7012</v>
      </c>
      <c r="P9" s="220">
        <v>1040593372746.593</v>
      </c>
      <c r="R9" s="220">
        <v>1027966345270.9985</v>
      </c>
      <c r="T9" s="220">
        <v>1000906229905.21</v>
      </c>
      <c r="V9" s="220">
        <v>993889134269.38696</v>
      </c>
      <c r="X9" s="220">
        <v>987146165084.86267</v>
      </c>
      <c r="Z9" s="220">
        <v>971123971135.40234</v>
      </c>
      <c r="AB9" s="220">
        <v>978243604916.91858</v>
      </c>
      <c r="AC9" s="220"/>
      <c r="AD9" s="220">
        <v>949762778082.01245</v>
      </c>
      <c r="AF9" s="220">
        <v>902942171055.14709</v>
      </c>
      <c r="AH9" s="220">
        <v>906969135735.11682</v>
      </c>
      <c r="AJ9" s="220">
        <v>902927528299.98865</v>
      </c>
    </row>
    <row r="10" spans="1:37" x14ac:dyDescent="0.2">
      <c r="A10" s="137" t="s">
        <v>122</v>
      </c>
      <c r="B10" s="31"/>
      <c r="C10" s="56" t="s">
        <v>122</v>
      </c>
      <c r="D10" s="56"/>
      <c r="E10" s="220">
        <v>192209043593.60004</v>
      </c>
      <c r="F10" s="220">
        <v>198044908973.36008</v>
      </c>
      <c r="G10" s="356">
        <f t="shared" si="0"/>
        <v>-2.9467383988876272E-2</v>
      </c>
      <c r="H10" s="220">
        <v>199152823316.68991</v>
      </c>
      <c r="I10" s="356">
        <f t="shared" si="0"/>
        <v>-3.4866589423379502E-2</v>
      </c>
      <c r="K10" s="114" t="s">
        <v>530</v>
      </c>
      <c r="L10" s="69" t="str">
        <f t="shared" si="1"/>
        <v>NM</v>
      </c>
      <c r="N10" s="220">
        <v>199152823316.68991</v>
      </c>
      <c r="P10" s="220">
        <v>200452631577.13013</v>
      </c>
      <c r="R10" s="220">
        <v>199084111558.1601</v>
      </c>
      <c r="T10" s="220">
        <v>198044908973.36008</v>
      </c>
      <c r="V10" s="220">
        <v>202020715750.13</v>
      </c>
      <c r="X10" s="220">
        <v>201978214564.71005</v>
      </c>
      <c r="Z10" s="220">
        <v>207183169436.00983</v>
      </c>
      <c r="AB10" s="220">
        <v>207568346238.38</v>
      </c>
      <c r="AC10" s="220"/>
      <c r="AD10" s="220">
        <v>202611886248.00989</v>
      </c>
      <c r="AF10" s="220">
        <v>196757955657.91992</v>
      </c>
      <c r="AH10" s="220">
        <v>200279949574.75986</v>
      </c>
      <c r="AJ10" s="220">
        <v>197411658153.97983</v>
      </c>
    </row>
    <row r="11" spans="1:37" ht="12" x14ac:dyDescent="0.25">
      <c r="A11" s="137" t="s">
        <v>169</v>
      </c>
      <c r="B11" s="31"/>
      <c r="C11" s="56" t="s">
        <v>276</v>
      </c>
      <c r="D11" s="57"/>
      <c r="E11" s="220">
        <v>525670359438.36987</v>
      </c>
      <c r="F11" s="220">
        <v>456165620285.4093</v>
      </c>
      <c r="G11" s="356">
        <f t="shared" si="0"/>
        <v>0.15236733340288455</v>
      </c>
      <c r="H11" s="220">
        <v>517068981111.35974</v>
      </c>
      <c r="I11" s="356">
        <f t="shared" si="0"/>
        <v>1.6634875889330658E-2</v>
      </c>
      <c r="K11" s="114" t="s">
        <v>530</v>
      </c>
      <c r="L11" s="69" t="str">
        <f t="shared" si="1"/>
        <v>NM</v>
      </c>
      <c r="N11" s="220">
        <v>517068981111.35974</v>
      </c>
      <c r="P11" s="220">
        <v>486116976100.00024</v>
      </c>
      <c r="R11" s="220">
        <v>461254350868.82056</v>
      </c>
      <c r="T11" s="220">
        <v>456165620285.4093</v>
      </c>
      <c r="V11" s="220">
        <v>440042426009.10034</v>
      </c>
      <c r="X11" s="220">
        <v>420576613967.98975</v>
      </c>
      <c r="Z11" s="220">
        <v>406211193670.46973</v>
      </c>
      <c r="AB11" s="220">
        <v>391242298170.44971</v>
      </c>
      <c r="AC11" s="220"/>
      <c r="AD11" s="220">
        <v>371779709392.38989</v>
      </c>
      <c r="AF11" s="220">
        <v>352714231571.46967</v>
      </c>
      <c r="AH11" s="220">
        <v>356419357501.17975</v>
      </c>
      <c r="AJ11" s="220">
        <v>342634706956.72034</v>
      </c>
    </row>
    <row r="12" spans="1:37" x14ac:dyDescent="0.2">
      <c r="A12" s="137" t="s">
        <v>124</v>
      </c>
      <c r="B12" s="31"/>
      <c r="C12" s="56" t="s">
        <v>124</v>
      </c>
      <c r="D12" s="58"/>
      <c r="E12" s="220">
        <v>471390386281.2301</v>
      </c>
      <c r="F12" s="220">
        <v>462061555347.49976</v>
      </c>
      <c r="G12" s="356">
        <f t="shared" si="0"/>
        <v>2.0189584755032186E-2</v>
      </c>
      <c r="H12" s="220">
        <v>474966706921.39008</v>
      </c>
      <c r="I12" s="356">
        <f t="shared" si="0"/>
        <v>-7.5296238410914595E-3</v>
      </c>
      <c r="K12" s="114" t="s">
        <v>530</v>
      </c>
      <c r="L12" s="69" t="str">
        <f t="shared" si="1"/>
        <v>NM</v>
      </c>
      <c r="N12" s="220">
        <v>474966706921.39008</v>
      </c>
      <c r="P12" s="220">
        <v>461420205526.26996</v>
      </c>
      <c r="R12" s="220">
        <v>459691437538.67053</v>
      </c>
      <c r="T12" s="220">
        <v>462061555347.49976</v>
      </c>
      <c r="V12" s="220">
        <v>468939975284.48004</v>
      </c>
      <c r="X12" s="220">
        <v>458089251293.72998</v>
      </c>
      <c r="Z12" s="220">
        <v>450568152850.47009</v>
      </c>
      <c r="AB12" s="220">
        <v>422736451441.10986</v>
      </c>
      <c r="AC12" s="220"/>
      <c r="AD12" s="220">
        <v>399798987387.26001</v>
      </c>
      <c r="AF12" s="220">
        <v>391523851946.43994</v>
      </c>
      <c r="AH12" s="220">
        <v>377236092294.9397</v>
      </c>
      <c r="AJ12" s="220">
        <v>371409522924.34979</v>
      </c>
    </row>
    <row r="13" spans="1:37" x14ac:dyDescent="0.2">
      <c r="A13" s="137" t="s">
        <v>170</v>
      </c>
      <c r="B13" s="31"/>
      <c r="C13" s="56" t="s">
        <v>125</v>
      </c>
      <c r="D13" s="56"/>
      <c r="E13" s="220">
        <v>135958753062.20078</v>
      </c>
      <c r="F13" s="220">
        <v>130008651990.64</v>
      </c>
      <c r="G13" s="356">
        <f t="shared" si="0"/>
        <v>4.5766962278704026E-2</v>
      </c>
      <c r="H13" s="220">
        <v>138215456534.79892</v>
      </c>
      <c r="I13" s="356">
        <f t="shared" si="0"/>
        <v>-1.632743203384035E-2</v>
      </c>
      <c r="K13" s="114" t="s">
        <v>530</v>
      </c>
      <c r="L13" s="69" t="str">
        <f t="shared" si="1"/>
        <v>NM</v>
      </c>
      <c r="N13" s="220">
        <v>138215456534.79892</v>
      </c>
      <c r="P13" s="220">
        <v>128844986498.81007</v>
      </c>
      <c r="R13" s="220">
        <v>119142569544.13255</v>
      </c>
      <c r="T13" s="220">
        <v>130008651990.64</v>
      </c>
      <c r="V13" s="220">
        <v>135174117144.40001</v>
      </c>
      <c r="X13" s="220">
        <v>123754988509.67001</v>
      </c>
      <c r="Z13" s="220">
        <v>121011203681.60004</v>
      </c>
      <c r="AB13" s="220">
        <v>116354326582.80997</v>
      </c>
      <c r="AC13" s="220"/>
      <c r="AD13" s="220">
        <v>112634672460.00999</v>
      </c>
      <c r="AF13" s="220">
        <v>129366183104.44998</v>
      </c>
      <c r="AH13" s="220">
        <v>120412366347.47</v>
      </c>
      <c r="AJ13" s="220">
        <v>119478165895.03004</v>
      </c>
    </row>
    <row r="14" spans="1:37" ht="18" customHeight="1" x14ac:dyDescent="0.25">
      <c r="A14" s="137" t="s">
        <v>110</v>
      </c>
      <c r="B14" s="31"/>
      <c r="C14" s="70" t="s">
        <v>110</v>
      </c>
      <c r="D14" s="46"/>
      <c r="E14" s="221">
        <v>2398327892502.6641</v>
      </c>
      <c r="F14" s="221">
        <v>2247186966502.1187</v>
      </c>
      <c r="G14" s="195">
        <f t="shared" si="0"/>
        <v>6.7257833128057554E-2</v>
      </c>
      <c r="H14" s="221">
        <v>2379909711565.9395</v>
      </c>
      <c r="I14" s="195">
        <f t="shared" si="0"/>
        <v>7.7390250761260049E-3</v>
      </c>
      <c r="K14" s="115" t="s">
        <v>530</v>
      </c>
      <c r="L14" s="33" t="str">
        <f t="shared" si="1"/>
        <v>NM</v>
      </c>
      <c r="N14" s="221">
        <v>2379909711565.9395</v>
      </c>
      <c r="P14" s="221">
        <v>2317428172448.8022</v>
      </c>
      <c r="R14" s="221">
        <v>2267138814780.7813</v>
      </c>
      <c r="T14" s="221">
        <v>2247186966502.1187</v>
      </c>
      <c r="V14" s="221">
        <v>2240066368457.4966</v>
      </c>
      <c r="X14" s="221">
        <v>2191545233420.9636</v>
      </c>
      <c r="Z14" s="221">
        <v>2156097690773.9517</v>
      </c>
      <c r="AB14" s="221">
        <v>2116145027349.6692</v>
      </c>
      <c r="AC14" s="222"/>
      <c r="AD14" s="221">
        <v>2036588033569.6836</v>
      </c>
      <c r="AF14" s="221">
        <v>1973304393335.4277</v>
      </c>
      <c r="AH14" s="221">
        <v>1961316901453.4658</v>
      </c>
      <c r="AJ14" s="221">
        <v>1933861582230.0684</v>
      </c>
    </row>
    <row r="15" spans="1:37" ht="15" customHeight="1" x14ac:dyDescent="0.25">
      <c r="A15" s="30"/>
      <c r="B15" s="2"/>
      <c r="C15" s="65" t="s">
        <v>126</v>
      </c>
      <c r="D15" s="46"/>
      <c r="E15" s="209">
        <f>E14-E9</f>
        <v>1325228542375.4011</v>
      </c>
      <c r="F15" s="209">
        <f>F14-F9</f>
        <v>1246280736596.9087</v>
      </c>
      <c r="G15" s="195">
        <f>IF(ISERROR($E15*F15),"NM",IF($E15*F15&gt;0,IF($E15/F15&gt;2,"NM",$E15/F15-1),"NM"))</f>
        <v>6.3346727154001581E-2</v>
      </c>
      <c r="H15" s="209">
        <f>H14-H9</f>
        <v>1329403967884.2383</v>
      </c>
      <c r="I15" s="195">
        <f t="shared" si="0"/>
        <v>-3.1408252192013375E-3</v>
      </c>
      <c r="K15" s="66" t="e">
        <f>K14-K9</f>
        <v>#VALUE!</v>
      </c>
      <c r="L15" s="33" t="str">
        <f t="shared" si="1"/>
        <v>NM</v>
      </c>
      <c r="N15" s="209">
        <f>N14-N9</f>
        <v>1329403967884.2383</v>
      </c>
      <c r="P15" s="209">
        <f>P14-P9</f>
        <v>1276834799702.2092</v>
      </c>
      <c r="R15" s="209">
        <f>R14-R9</f>
        <v>1239172469509.7827</v>
      </c>
      <c r="T15" s="209">
        <f>T14-T9</f>
        <v>1246280736596.9087</v>
      </c>
      <c r="V15" s="209">
        <f>V14-V9</f>
        <v>1246177234188.1096</v>
      </c>
      <c r="X15" s="209">
        <f>X14-X9</f>
        <v>1204399068336.1011</v>
      </c>
      <c r="Z15" s="209">
        <f>Z14-Z9</f>
        <v>1184973719638.5493</v>
      </c>
      <c r="AB15" s="209">
        <f>AB14-AB9</f>
        <v>1137901422432.7505</v>
      </c>
      <c r="AC15" s="222"/>
      <c r="AD15" s="209">
        <f>AD14-AD9</f>
        <v>1086825255487.6711</v>
      </c>
      <c r="AF15" s="209">
        <f>AF14-AF9</f>
        <v>1070362222280.2806</v>
      </c>
      <c r="AH15" s="209">
        <f>AH14-AH9</f>
        <v>1054347765718.349</v>
      </c>
      <c r="AJ15" s="209">
        <f>AJ14-AJ9</f>
        <v>1030934053930.0797</v>
      </c>
    </row>
    <row r="16" spans="1:37" ht="12" hidden="1" outlineLevel="1" x14ac:dyDescent="0.25">
      <c r="A16" s="30"/>
      <c r="B16" s="2"/>
      <c r="C16" s="47"/>
      <c r="D16" s="46"/>
      <c r="E16" s="157">
        <f>ROUND(E14-SUM(E9:E13),3)</f>
        <v>0</v>
      </c>
      <c r="F16" s="157">
        <f>ROUND(F14-SUM(F9:F13),3)</f>
        <v>0</v>
      </c>
      <c r="H16" s="157">
        <f>ROUND(H14-SUM(H9:H13),3)</f>
        <v>0</v>
      </c>
      <c r="K16" s="157" t="e">
        <f>ROUND(K14-SUM(K9:K13),3)</f>
        <v>#VALUE!</v>
      </c>
      <c r="N16" s="157">
        <f>ROUND(N14-SUM(N9:N13),3)</f>
        <v>0</v>
      </c>
      <c r="P16" s="157">
        <f>ROUND(P14-SUM(P9:P13),3)</f>
        <v>-1E-3</v>
      </c>
      <c r="R16" s="157">
        <f>ROUND(R14-SUM(R9:R13),3)</f>
        <v>-1E-3</v>
      </c>
      <c r="T16" s="157">
        <f>ROUND(R14-SUM(R9:R13),3)</f>
        <v>-1E-3</v>
      </c>
      <c r="V16" s="157">
        <f>ROUND(V14-SUM(V9:V13),3)</f>
        <v>-1E-3</v>
      </c>
      <c r="X16" s="157">
        <f>ROUND(X14-SUM(X9:X13),3)</f>
        <v>1E-3</v>
      </c>
      <c r="Z16" s="157">
        <f>ROUND(Z14-SUM(Z9:Z13),3)</f>
        <v>0</v>
      </c>
      <c r="AB16" s="157">
        <f>ROUND(AB14-SUM(AB9:AB13),3)</f>
        <v>1E-3</v>
      </c>
      <c r="AC16" s="157"/>
      <c r="AD16" s="157">
        <f>ROUND(AD14-SUM(AD9:AD13),3)</f>
        <v>1E-3</v>
      </c>
      <c r="AF16" s="157">
        <f>ROUND(AF14-SUM(AF9:AF13),3)</f>
        <v>1E-3</v>
      </c>
      <c r="AH16" s="157">
        <f>ROUND(AH14-SUM(AH9:AH13),3)</f>
        <v>0</v>
      </c>
      <c r="AI16" s="157"/>
      <c r="AJ16" s="157">
        <f>ROUND(AJ14-SUM(AJ9:AJ13),3)</f>
        <v>0</v>
      </c>
      <c r="AK16" s="157"/>
    </row>
    <row r="17" spans="1:37" ht="12" collapsed="1" x14ac:dyDescent="0.25">
      <c r="A17" s="30"/>
      <c r="B17" s="2"/>
      <c r="C17" s="47"/>
      <c r="D17" s="46"/>
      <c r="E17" s="157"/>
      <c r="F17" s="157"/>
      <c r="H17" s="157"/>
      <c r="K17" s="157"/>
      <c r="N17" s="157"/>
      <c r="O17" s="157"/>
      <c r="P17" s="157"/>
      <c r="Q17" s="157"/>
      <c r="S17" s="157"/>
      <c r="T17" s="157"/>
      <c r="U17" s="157"/>
      <c r="V17" s="157"/>
      <c r="X17" s="157"/>
      <c r="Y17" s="157"/>
      <c r="Z17" s="157"/>
      <c r="AA17" s="157"/>
      <c r="AB17" s="157"/>
      <c r="AC17" s="157"/>
      <c r="AD17" s="157"/>
      <c r="AE17" s="157"/>
      <c r="AF17" s="157"/>
      <c r="AG17" s="157"/>
      <c r="AH17" s="157"/>
      <c r="AI17" s="157"/>
      <c r="AJ17" s="157"/>
      <c r="AK17" s="157"/>
    </row>
    <row r="18" spans="1:37" ht="12" x14ac:dyDescent="0.25">
      <c r="A18" s="30"/>
      <c r="B18" s="2"/>
      <c r="C18" s="47"/>
      <c r="D18" s="46"/>
      <c r="E18" s="157"/>
      <c r="F18" s="157"/>
      <c r="H18" s="157"/>
      <c r="K18" s="157"/>
      <c r="N18" s="157"/>
      <c r="O18" s="157"/>
      <c r="P18" s="157"/>
      <c r="Q18" s="157"/>
      <c r="S18" s="157"/>
      <c r="T18" s="157"/>
      <c r="U18" s="157"/>
      <c r="V18" s="157"/>
      <c r="X18" s="157"/>
      <c r="Y18" s="157"/>
      <c r="Z18" s="157"/>
      <c r="AA18" s="157"/>
      <c r="AB18" s="157"/>
      <c r="AC18" s="157"/>
      <c r="AD18" s="157"/>
      <c r="AE18" s="157"/>
      <c r="AF18" s="157"/>
      <c r="AG18" s="157"/>
      <c r="AH18" s="157"/>
      <c r="AI18" s="157"/>
      <c r="AJ18" s="157"/>
      <c r="AK18" s="157"/>
    </row>
    <row r="19" spans="1:37" ht="17.399999999999999" x14ac:dyDescent="0.3">
      <c r="A19" s="30"/>
      <c r="B19" s="2"/>
      <c r="C19" s="100" t="s">
        <v>157</v>
      </c>
      <c r="D19" s="46"/>
      <c r="E19" s="39"/>
      <c r="N19" s="77" t="s">
        <v>185</v>
      </c>
    </row>
    <row r="20" spans="1:37" ht="27.75" customHeight="1" x14ac:dyDescent="0.25">
      <c r="A20" s="135" t="s">
        <v>154</v>
      </c>
      <c r="B20" s="2"/>
      <c r="C20" s="41" t="s">
        <v>107</v>
      </c>
      <c r="D20" s="46"/>
      <c r="E20" s="218" t="str" cm="1">
        <f t="array" ref="E20">"Flows"&amp;" "&amp;"
"&amp;INDEX(TableYtd,MONTH(E$3),2)&amp;YEAR(E$3)</f>
        <v>Flows 
Q1 2026</v>
      </c>
      <c r="F20" s="218" t="str" cm="1">
        <f t="array" ref="F20">"Flows"&amp;" "&amp;"
"&amp;INDEX(TableYtd,MONTH(F$3),2)&amp;YEAR(F$3)</f>
        <v>Flows 
Q1 2025</v>
      </c>
      <c r="G20" s="339"/>
      <c r="H20" s="218" t="str">
        <f>"Flows"&amp;" "&amp;"
"&amp;"Q"&amp;MONTH(H$3)/3&amp;" "&amp;YEAR(H$3)</f>
        <v>Flows 
Q4 2025</v>
      </c>
      <c r="I20" s="339"/>
      <c r="K20" s="105" t="str">
        <f>"Flows"&amp;" "&amp;"
"&amp;"Q"&amp;MONTH(K$3)/3&amp;" "&amp;YEAR(K$3)</f>
        <v>Flows 
Q3 2025</v>
      </c>
      <c r="L20" s="105"/>
      <c r="N20" s="218" t="str" cm="1">
        <f t="array" ref="N20">"Flows"&amp;" "&amp;"
"&amp;INDEX(TableYtd,MONTH(N$3),2)&amp;YEAR(N$3)</f>
        <v>Flows 
FY 2025</v>
      </c>
      <c r="O20" s="218" t="str">
        <f>"Flows"&amp;" "&amp;"
"&amp;"Q"&amp;MONTH(O$3)/3&amp;" "&amp;YEAR(O$3)</f>
        <v>Flows 
Q4 2025</v>
      </c>
      <c r="P20" s="218" t="str" cm="1">
        <f t="array" ref="P20">"Flows"&amp;" "&amp;"
"&amp;INDEX(TableYtd,MONTH(P$3),2)&amp;YEAR(P$3)</f>
        <v>Flows 
9M 2025</v>
      </c>
      <c r="Q20" s="218" t="str">
        <f>"Flows"&amp;" "&amp;"
"&amp;"Q"&amp;MONTH(Q$3)/3&amp;" "&amp;YEAR(Q$3)</f>
        <v>Flows 
Q3 2025</v>
      </c>
      <c r="R20" s="218" t="str" cm="1">
        <f t="array" ref="R20">"Flows"&amp;" "&amp;"
"&amp;INDEX(TableYtd,MONTH(R$3),2)&amp;YEAR(R$3)</f>
        <v>Flows 
H1 2025</v>
      </c>
      <c r="S20" s="218" t="str">
        <f>"Flows"&amp;" "&amp;"
"&amp;"Q"&amp;MONTH(S$3)/3&amp;" "&amp;YEAR(S$3)</f>
        <v>Flows 
Q2 2025</v>
      </c>
      <c r="T20" s="218" t="str" cm="1">
        <f t="array" ref="T20">"Flows"&amp;" "&amp;"
"&amp;INDEX(TableYtd,MONTH(T$3),2)&amp;YEAR(T$3)</f>
        <v>Flows 
Q1 2025</v>
      </c>
      <c r="U20" s="196"/>
      <c r="V20" s="218" t="str" cm="1">
        <f t="array" ref="V20">"Flows"&amp;" "&amp;"
"&amp;INDEX(TableYtd,MONTH(V$3),2)&amp;YEAR(V$3)</f>
        <v>Flows 
FY 2024</v>
      </c>
      <c r="W20" s="218" t="str">
        <f>"Flows"&amp;" "&amp;"
"&amp;"Q"&amp;MONTH(W$3)/3&amp;" "&amp;YEAR(W$3)</f>
        <v>Flows 
Q4 2024</v>
      </c>
      <c r="X20" s="218" t="str" cm="1">
        <f t="array" ref="X20">"Flows"&amp;" "&amp;"
"&amp;INDEX(TableYtd,MONTH(X$3),2)&amp;YEAR(X$3)</f>
        <v>Flows 
9M 2024</v>
      </c>
      <c r="Y20" s="218" t="str">
        <f>"Flows"&amp;" "&amp;"
"&amp;"Q"&amp;MONTH(Y$3)/3&amp;" "&amp;YEAR(Y$3)</f>
        <v>Flows 
Q3 2024</v>
      </c>
      <c r="Z20" s="218" t="str" cm="1">
        <f t="array" ref="Z20">"Flows"&amp;" "&amp;"
"&amp;INDEX(TableYtd,MONTH(Z$3),2)&amp;YEAR(Z$3)</f>
        <v>Flows 
H1 2024</v>
      </c>
      <c r="AA20" s="218" t="str">
        <f>"Flows"&amp;" "&amp;"
"&amp;"Q"&amp;MONTH(AA$3)/3&amp;" "&amp;YEAR(AA$3)</f>
        <v>Flows 
Q2 2024</v>
      </c>
      <c r="AB20" s="218" t="str" cm="1">
        <f t="array" ref="AB20">"Flows"&amp;" "&amp;"
"&amp;INDEX(TableYtd,MONTH(AB$3),2)&amp;YEAR(AB$3)</f>
        <v>Flows 
Q1 2024</v>
      </c>
      <c r="AC20" s="339"/>
      <c r="AD20" s="218" t="str" cm="1">
        <f t="array" ref="AD20">"Flows"&amp;" "&amp;"
"&amp;INDEX(TableYtd,MONTH(AD$3),2)&amp;YEAR(AD$3)</f>
        <v>Flows 
FY 2023</v>
      </c>
      <c r="AE20" s="218" t="str">
        <f>"Flows"&amp;" "&amp;"
"&amp;"Q"&amp;MONTH(AE$3)/3&amp;" "&amp;YEAR(AE$3)</f>
        <v>Flows 
Q4 2023</v>
      </c>
      <c r="AF20" s="218" t="str" cm="1">
        <f t="array" ref="AF20">"Flows"&amp;" "&amp;"
"&amp;INDEX(TableYtd,MONTH(AF$3),2)&amp;YEAR(AF$3)</f>
        <v>Flows 
9M 2023</v>
      </c>
      <c r="AG20" s="218" t="str">
        <f>"Flows"&amp;" "&amp;"
"&amp;"Q"&amp;MONTH(AG$3)/3&amp;" "&amp;YEAR(AG$3)</f>
        <v>Flows 
Q3 2023</v>
      </c>
      <c r="AH20" s="218" t="str" cm="1">
        <f t="array" ref="AH20">"Flows"&amp;" "&amp;"
"&amp;INDEX(TableYtd,MONTH(AH$3),2)&amp;YEAR(AH$3)</f>
        <v>Flows 
H1 2023</v>
      </c>
      <c r="AI20" s="218" t="str">
        <f>"Flows"&amp;" "&amp;"
"&amp;"Q"&amp;MONTH(AI$3)/3&amp;" "&amp;YEAR(AI$3)</f>
        <v>Flows 
Q2 2023</v>
      </c>
      <c r="AJ20" s="218" t="str" cm="1">
        <f t="array" ref="AJ20">"Flows"&amp;" "&amp;"
"&amp;INDEX(TableYtd,MONTH(AJ$3),2)&amp;YEAR(AJ$3)</f>
        <v>Flows 
Q1 2023</v>
      </c>
    </row>
    <row r="21" spans="1:37" ht="15" customHeight="1" x14ac:dyDescent="0.25">
      <c r="A21" s="137" t="s">
        <v>121</v>
      </c>
      <c r="B21" s="31"/>
      <c r="C21" s="164" t="s">
        <v>121</v>
      </c>
      <c r="D21" s="47"/>
      <c r="E21" s="223">
        <v>14692947161.566671</v>
      </c>
      <c r="F21" s="223">
        <v>547236436.59911108</v>
      </c>
      <c r="G21" s="61"/>
      <c r="H21" s="223">
        <v>-4623429860.7207861</v>
      </c>
      <c r="I21" s="223"/>
      <c r="J21" s="223" t="s">
        <v>530</v>
      </c>
      <c r="K21" s="223">
        <v>725300167.78870821</v>
      </c>
      <c r="L21" s="223" t="s">
        <v>530</v>
      </c>
      <c r="M21" s="223"/>
      <c r="N21" s="223">
        <v>5435043113.0211735</v>
      </c>
      <c r="O21" s="223">
        <v>-4623429860.7207861</v>
      </c>
      <c r="P21" s="223">
        <v>10020054116.066612</v>
      </c>
      <c r="Q21" s="223">
        <v>725300167.78870893</v>
      </c>
      <c r="R21" s="223">
        <v>9294753948.2779064</v>
      </c>
      <c r="S21" s="223">
        <v>8747517511.6788483</v>
      </c>
      <c r="T21" s="223">
        <v>547236436.59911108</v>
      </c>
      <c r="U21" s="223"/>
      <c r="V21" s="223">
        <v>18656303543.126701</v>
      </c>
      <c r="W21" s="223">
        <v>5882658061.0379877</v>
      </c>
      <c r="X21" s="223">
        <v>12773645482.088686</v>
      </c>
      <c r="Y21" s="223">
        <v>2793660116.1174827</v>
      </c>
      <c r="Z21" s="223">
        <v>9979985365.9712029</v>
      </c>
      <c r="AA21" s="223">
        <v>6482747.2440469153</v>
      </c>
      <c r="AB21" s="223">
        <v>9973502618.727211</v>
      </c>
      <c r="AC21" s="223"/>
      <c r="AD21" s="223">
        <v>10440329719.283081</v>
      </c>
      <c r="AE21" s="223">
        <v>11617483506.021307</v>
      </c>
      <c r="AF21" s="223">
        <v>-1177153786.7381725</v>
      </c>
      <c r="AG21" s="223">
        <v>4139497634.8461776</v>
      </c>
      <c r="AH21" s="223">
        <v>-5316651421.5843878</v>
      </c>
      <c r="AI21" s="223">
        <v>-2895377445.3745131</v>
      </c>
      <c r="AJ21" s="223">
        <v>-2421273976.209846</v>
      </c>
    </row>
    <row r="22" spans="1:37" x14ac:dyDescent="0.2">
      <c r="A22" s="137" t="s">
        <v>122</v>
      </c>
      <c r="B22" s="31"/>
      <c r="C22" s="164" t="s">
        <v>122</v>
      </c>
      <c r="D22" s="103"/>
      <c r="E22" s="223">
        <v>-6308511253.9199991</v>
      </c>
      <c r="F22" s="223">
        <v>-1935244768.46</v>
      </c>
      <c r="G22" s="61"/>
      <c r="H22" s="223">
        <v>-2700657302.420001</v>
      </c>
      <c r="I22" s="223"/>
      <c r="J22" s="223" t="s">
        <v>530</v>
      </c>
      <c r="K22" s="223">
        <v>-2969438619.7299995</v>
      </c>
      <c r="L22" s="223" t="s">
        <v>530</v>
      </c>
      <c r="M22" s="223"/>
      <c r="N22" s="223">
        <v>-9022827833.8700066</v>
      </c>
      <c r="O22" s="223">
        <v>-2700657302.420001</v>
      </c>
      <c r="P22" s="223">
        <v>-6322170531.4500027</v>
      </c>
      <c r="Q22" s="223">
        <v>-2969438619.7299981</v>
      </c>
      <c r="R22" s="223">
        <v>-3352731911.7199998</v>
      </c>
      <c r="S22" s="223">
        <v>-1417487143.2599998</v>
      </c>
      <c r="T22" s="223">
        <v>-1935244768.46</v>
      </c>
      <c r="U22" s="223"/>
      <c r="V22" s="223">
        <v>-14510998308.470009</v>
      </c>
      <c r="W22" s="223">
        <v>-751014617.35000074</v>
      </c>
      <c r="X22" s="223">
        <v>-13759983691.119993</v>
      </c>
      <c r="Y22" s="223">
        <v>-10816556384.440006</v>
      </c>
      <c r="Z22" s="223">
        <v>-2943427306.6799941</v>
      </c>
      <c r="AA22" s="223">
        <v>-1803395108.0799999</v>
      </c>
      <c r="AB22" s="223">
        <v>-1140032198.6000013</v>
      </c>
      <c r="AC22" s="223"/>
      <c r="AD22" s="223">
        <v>-4266081876.3899999</v>
      </c>
      <c r="AE22" s="223">
        <v>-2065702139.1299984</v>
      </c>
      <c r="AF22" s="223">
        <v>-2200379737.2600045</v>
      </c>
      <c r="AG22" s="223">
        <v>-1517412319.3000004</v>
      </c>
      <c r="AH22" s="223">
        <v>-682967417.96000218</v>
      </c>
      <c r="AI22" s="223">
        <v>43976367.349998929</v>
      </c>
      <c r="AJ22" s="223">
        <v>-726943785.31000173</v>
      </c>
    </row>
    <row r="23" spans="1:37" ht="12" x14ac:dyDescent="0.25">
      <c r="A23" s="137" t="s">
        <v>169</v>
      </c>
      <c r="B23" s="31"/>
      <c r="C23" s="164" t="s">
        <v>123</v>
      </c>
      <c r="D23" s="116"/>
      <c r="E23" s="223">
        <v>18867327784.670021</v>
      </c>
      <c r="F23" s="223">
        <v>23746766383.819981</v>
      </c>
      <c r="G23" s="61"/>
      <c r="H23" s="223">
        <v>18302358919.153385</v>
      </c>
      <c r="I23" s="223"/>
      <c r="J23" s="223" t="s">
        <v>530</v>
      </c>
      <c r="K23" s="223">
        <v>6848800826.510005</v>
      </c>
      <c r="L23" s="223" t="s">
        <v>530</v>
      </c>
      <c r="M23" s="223"/>
      <c r="N23" s="223">
        <v>47927365546.393448</v>
      </c>
      <c r="O23" s="223">
        <v>18302358919.153385</v>
      </c>
      <c r="P23" s="223">
        <v>29625006627.240036</v>
      </c>
      <c r="Q23" s="223">
        <v>6848800826.5099983</v>
      </c>
      <c r="R23" s="223">
        <v>22776205800.730003</v>
      </c>
      <c r="S23" s="223">
        <v>-970560583.09000254</v>
      </c>
      <c r="T23" s="223">
        <v>23746766383.819981</v>
      </c>
      <c r="U23" s="223"/>
      <c r="V23" s="223">
        <v>17087995184.100016</v>
      </c>
      <c r="W23" s="223">
        <v>11090346598.080002</v>
      </c>
      <c r="X23" s="223">
        <v>5997648586.0200024</v>
      </c>
      <c r="Y23" s="223">
        <v>1896756132.4199982</v>
      </c>
      <c r="Z23" s="223">
        <v>4100892453.5999937</v>
      </c>
      <c r="AA23" s="223">
        <v>136509905.26000226</v>
      </c>
      <c r="AB23" s="223">
        <v>3964382548.3399963</v>
      </c>
      <c r="AC23" s="223"/>
      <c r="AD23" s="223">
        <v>8888453169.3799953</v>
      </c>
      <c r="AE23" s="223">
        <v>2858941390.7599974</v>
      </c>
      <c r="AF23" s="223">
        <v>6029511778.6200066</v>
      </c>
      <c r="AG23" s="223">
        <v>-768316693.92999995</v>
      </c>
      <c r="AH23" s="223">
        <v>6797828472.5500011</v>
      </c>
      <c r="AI23" s="223">
        <v>6528982374.8500023</v>
      </c>
      <c r="AJ23" s="223">
        <v>268846097.69999731</v>
      </c>
    </row>
    <row r="24" spans="1:37" x14ac:dyDescent="0.2">
      <c r="A24" s="137" t="s">
        <v>124</v>
      </c>
      <c r="B24" s="31"/>
      <c r="C24" s="164" t="s">
        <v>124</v>
      </c>
      <c r="D24" s="49"/>
      <c r="E24" s="223">
        <v>7018620379.6099987</v>
      </c>
      <c r="F24" s="223">
        <v>7779793682.0900087</v>
      </c>
      <c r="G24" s="61"/>
      <c r="H24" s="223">
        <v>3584305821.3000002</v>
      </c>
      <c r="I24" s="223"/>
      <c r="J24" s="223" t="s">
        <v>530</v>
      </c>
      <c r="K24" s="223">
        <v>7437175773.5100021</v>
      </c>
      <c r="L24" s="223" t="s">
        <v>530</v>
      </c>
      <c r="M24" s="223"/>
      <c r="N24" s="223">
        <v>32603371820.550022</v>
      </c>
      <c r="O24" s="223">
        <v>3584305821.3000002</v>
      </c>
      <c r="P24" s="223">
        <v>29019065999.250008</v>
      </c>
      <c r="Q24" s="223">
        <v>7437175773.5099993</v>
      </c>
      <c r="R24" s="223">
        <v>21581890225.740002</v>
      </c>
      <c r="S24" s="223">
        <v>13802096543.65</v>
      </c>
      <c r="T24" s="223">
        <v>7779793682.0900087</v>
      </c>
      <c r="U24" s="223"/>
      <c r="V24" s="223">
        <v>28144476974.16</v>
      </c>
      <c r="W24" s="223">
        <v>-1470531834.0700011</v>
      </c>
      <c r="X24" s="223">
        <v>29615008808.23</v>
      </c>
      <c r="Y24" s="223">
        <v>7361647307.3599987</v>
      </c>
      <c r="Z24" s="223">
        <v>22253361500.869995</v>
      </c>
      <c r="AA24" s="223">
        <v>15429785850.340008</v>
      </c>
      <c r="AB24" s="223">
        <v>6823575650.5299988</v>
      </c>
      <c r="AC24" s="223"/>
      <c r="AD24" s="223">
        <v>7222369101.0700006</v>
      </c>
      <c r="AE24" s="223">
        <v>7542349309.9599991</v>
      </c>
      <c r="AF24" s="223">
        <v>-319980208.88999385</v>
      </c>
      <c r="AG24" s="223">
        <v>3424284987.1899996</v>
      </c>
      <c r="AH24" s="223">
        <v>-3744265196.0799994</v>
      </c>
      <c r="AI24" s="223">
        <v>988899136.77999806</v>
      </c>
      <c r="AJ24" s="223">
        <v>-4733164332.8600006</v>
      </c>
    </row>
    <row r="25" spans="1:37" x14ac:dyDescent="0.2">
      <c r="A25" s="137" t="s">
        <v>170</v>
      </c>
      <c r="B25" s="31"/>
      <c r="C25" s="164" t="s">
        <v>125</v>
      </c>
      <c r="D25" s="103"/>
      <c r="E25" s="223">
        <v>-2245597737.3894472</v>
      </c>
      <c r="F25" s="223">
        <v>996411965.44000006</v>
      </c>
      <c r="G25" s="61"/>
      <c r="H25" s="223">
        <v>6363220094.4159746</v>
      </c>
      <c r="I25" s="223"/>
      <c r="J25" s="223" t="s">
        <v>530</v>
      </c>
      <c r="K25" s="223">
        <v>3045805617.5697842</v>
      </c>
      <c r="L25" s="223" t="s">
        <v>530</v>
      </c>
      <c r="M25" s="223"/>
      <c r="N25" s="223">
        <v>10670346672.307838</v>
      </c>
      <c r="O25" s="223">
        <v>6363220094.4159746</v>
      </c>
      <c r="P25" s="223">
        <v>4307126577.8918648</v>
      </c>
      <c r="Q25" s="223">
        <v>3045805617.5697842</v>
      </c>
      <c r="R25" s="223">
        <v>1261320960.3220809</v>
      </c>
      <c r="S25" s="223">
        <v>264908994.88208041</v>
      </c>
      <c r="T25" s="223">
        <v>996411965.44000006</v>
      </c>
      <c r="U25" s="223"/>
      <c r="V25" s="223">
        <v>6066102698.9799995</v>
      </c>
      <c r="W25" s="223">
        <v>5713911894.9400005</v>
      </c>
      <c r="X25" s="223">
        <v>352190804.03999817</v>
      </c>
      <c r="Y25" s="223">
        <v>1672371318.3700008</v>
      </c>
      <c r="Z25" s="223">
        <v>-1320180514.3299983</v>
      </c>
      <c r="AA25" s="223">
        <v>1696620305.2999992</v>
      </c>
      <c r="AB25" s="223">
        <v>-3016800819.6300001</v>
      </c>
      <c r="AC25" s="223"/>
      <c r="AD25" s="223">
        <v>3535547096.5899992</v>
      </c>
      <c r="AE25" s="223">
        <v>-458834105.11000013</v>
      </c>
      <c r="AF25" s="223">
        <v>3994381201.7000003</v>
      </c>
      <c r="AG25" s="223">
        <v>8449784682.9800014</v>
      </c>
      <c r="AH25" s="223">
        <v>-4455403481.2800007</v>
      </c>
      <c r="AI25" s="223">
        <v>-1010267575.86</v>
      </c>
      <c r="AJ25" s="223">
        <v>-3445135905.4200001</v>
      </c>
    </row>
    <row r="26" spans="1:37" ht="18" customHeight="1" x14ac:dyDescent="0.2">
      <c r="A26" s="357" t="s">
        <v>110</v>
      </c>
      <c r="B26" s="31"/>
      <c r="C26" s="71" t="s">
        <v>110</v>
      </c>
      <c r="D26" s="103"/>
      <c r="E26" s="224">
        <v>32024786334.537216</v>
      </c>
      <c r="F26" s="224">
        <v>31134963699.489113</v>
      </c>
      <c r="H26" s="224">
        <v>20925797671.728531</v>
      </c>
      <c r="I26" s="338"/>
      <c r="J26" s="196"/>
      <c r="K26" s="338">
        <v>15087643765.648487</v>
      </c>
      <c r="L26" s="196"/>
      <c r="M26" s="196"/>
      <c r="N26" s="224">
        <v>87613299318.402451</v>
      </c>
      <c r="O26" s="224">
        <v>20925797671.728531</v>
      </c>
      <c r="P26" s="224">
        <v>66649082788.998497</v>
      </c>
      <c r="Q26" s="224">
        <v>15087643765.648495</v>
      </c>
      <c r="R26" s="224">
        <v>51561439023.350014</v>
      </c>
      <c r="S26" s="224">
        <v>20426475323.86092</v>
      </c>
      <c r="T26" s="224">
        <v>31134963699.489113</v>
      </c>
      <c r="U26" s="338"/>
      <c r="V26" s="224">
        <v>55443880091.896713</v>
      </c>
      <c r="W26" s="224">
        <v>20465370102.637978</v>
      </c>
      <c r="X26" s="224">
        <v>34978509989.258659</v>
      </c>
      <c r="Y26" s="224">
        <v>2907878489.827486</v>
      </c>
      <c r="Z26" s="224">
        <v>32070631499.431198</v>
      </c>
      <c r="AA26" s="224">
        <v>15466003700.064045</v>
      </c>
      <c r="AB26" s="224">
        <v>16604627799.367218</v>
      </c>
      <c r="AC26" s="338"/>
      <c r="AD26" s="224">
        <v>25820617209.933117</v>
      </c>
      <c r="AE26" s="224">
        <v>19494237962.501312</v>
      </c>
      <c r="AF26" s="224">
        <v>6326379247.4317789</v>
      </c>
      <c r="AG26" s="224">
        <v>13727838291.786167</v>
      </c>
      <c r="AH26" s="224">
        <v>-7401459044.3543825</v>
      </c>
      <c r="AI26" s="224">
        <v>3656212857.7454834</v>
      </c>
      <c r="AJ26" s="224">
        <v>-11057671902.099863</v>
      </c>
    </row>
    <row r="27" spans="1:37" ht="15" customHeight="1" x14ac:dyDescent="0.2">
      <c r="A27" s="357"/>
      <c r="B27" s="31"/>
      <c r="C27" s="71" t="s">
        <v>126</v>
      </c>
      <c r="D27" s="103"/>
      <c r="E27" s="224">
        <f>E26-E21</f>
        <v>17331839172.970543</v>
      </c>
      <c r="F27" s="224">
        <f t="shared" ref="F27:AG27" si="2">F26-F21</f>
        <v>30587727262.890003</v>
      </c>
      <c r="H27" s="224">
        <f t="shared" si="2"/>
        <v>25549227532.449318</v>
      </c>
      <c r="I27" s="338"/>
      <c r="J27" s="196"/>
      <c r="K27" s="338">
        <f t="shared" si="2"/>
        <v>14362343597.859779</v>
      </c>
      <c r="L27" s="196"/>
      <c r="M27" s="196"/>
      <c r="N27" s="224">
        <f t="shared" si="2"/>
        <v>82178256205.381271</v>
      </c>
      <c r="O27" s="224">
        <f t="shared" si="2"/>
        <v>25549227532.449318</v>
      </c>
      <c r="P27" s="224">
        <f t="shared" si="2"/>
        <v>56629028672.931885</v>
      </c>
      <c r="Q27" s="224">
        <f t="shared" si="2"/>
        <v>14362343597.859785</v>
      </c>
      <c r="R27" s="224">
        <f t="shared" si="2"/>
        <v>42266685075.072105</v>
      </c>
      <c r="S27" s="224">
        <f t="shared" si="2"/>
        <v>11678957812.182072</v>
      </c>
      <c r="T27" s="224">
        <f>T26-T21</f>
        <v>30587727262.890003</v>
      </c>
      <c r="U27" s="338"/>
      <c r="V27" s="224">
        <f>V26-V21</f>
        <v>36787576548.770012</v>
      </c>
      <c r="W27" s="224">
        <f>W26-W21</f>
        <v>14582712041.599991</v>
      </c>
      <c r="X27" s="224">
        <f>X26-X21</f>
        <v>22204864507.169975</v>
      </c>
      <c r="Y27" s="224">
        <f>Y26-Y21</f>
        <v>114218373.71000338</v>
      </c>
      <c r="Z27" s="224">
        <f>Z26-Z21</f>
        <v>22090646133.459995</v>
      </c>
      <c r="AA27" s="224">
        <f t="shared" si="2"/>
        <v>15459520952.819998</v>
      </c>
      <c r="AB27" s="224">
        <f t="shared" si="2"/>
        <v>6631125180.640007</v>
      </c>
      <c r="AC27" s="338"/>
      <c r="AD27" s="224">
        <f t="shared" si="2"/>
        <v>15380287490.650036</v>
      </c>
      <c r="AE27" s="224">
        <f t="shared" si="2"/>
        <v>7876754456.4800053</v>
      </c>
      <c r="AF27" s="224">
        <f t="shared" si="2"/>
        <v>7503533034.1699514</v>
      </c>
      <c r="AG27" s="224">
        <f t="shared" si="2"/>
        <v>9588340656.9399891</v>
      </c>
      <c r="AH27" s="224">
        <f>AH26-AH21</f>
        <v>-2084807622.7699947</v>
      </c>
      <c r="AI27" s="224">
        <f>AI26-AI21</f>
        <v>6551590303.119997</v>
      </c>
      <c r="AJ27" s="224">
        <f>AJ26-AJ21</f>
        <v>-8636397925.8900166</v>
      </c>
    </row>
    <row r="28" spans="1:37" hidden="1" outlineLevel="1" x14ac:dyDescent="0.2">
      <c r="A28" s="2"/>
      <c r="B28" s="2"/>
      <c r="C28" s="39"/>
      <c r="D28" s="46"/>
      <c r="E28" s="157">
        <f>ROUND(E26-SUM(E21:E25),2)</f>
        <v>0</v>
      </c>
      <c r="F28" s="157">
        <f>ROUND(F26-SUM(F21:F25),2)</f>
        <v>0</v>
      </c>
      <c r="G28" s="61"/>
      <c r="H28" s="157">
        <f>ROUND(H26-SUM(H21:H25),3)</f>
        <v>0</v>
      </c>
      <c r="I28" s="157"/>
      <c r="K28" s="157">
        <f>ROUND(K26-SUM(K21:K25),3)</f>
        <v>0</v>
      </c>
      <c r="N28" s="157">
        <f>ROUND(N26-SUM(N21:N25),3)</f>
        <v>0</v>
      </c>
      <c r="O28" s="157">
        <f t="shared" ref="O28:AD28" si="3">ROUND(O26-SUM(O21:O25),3)</f>
        <v>0</v>
      </c>
      <c r="P28" s="157">
        <f t="shared" si="3"/>
        <v>0</v>
      </c>
      <c r="Q28" s="157">
        <f t="shared" si="3"/>
        <v>0</v>
      </c>
      <c r="R28" s="157">
        <f t="shared" si="3"/>
        <v>0</v>
      </c>
      <c r="S28" s="157">
        <f t="shared" si="3"/>
        <v>0</v>
      </c>
      <c r="T28" s="157">
        <f>ROUND(T26-SUM(T21:T25),3)</f>
        <v>0</v>
      </c>
      <c r="U28" s="157"/>
      <c r="V28" s="157">
        <f>ROUND(V26-SUM(V21:V25),3)</f>
        <v>0</v>
      </c>
      <c r="W28" s="157">
        <f>ROUND(W26-SUM(W21:W25),3)</f>
        <v>0</v>
      </c>
      <c r="X28" s="157">
        <f>ROUND(X26-SUM(X21:X25),3)</f>
        <v>0</v>
      </c>
      <c r="Y28" s="157">
        <f>ROUND(Y26-SUM(Y21:Y25),3)</f>
        <v>0</v>
      </c>
      <c r="Z28" s="157">
        <f>ROUND(Z26-SUM(Z21:Z25),3)</f>
        <v>0</v>
      </c>
      <c r="AA28" s="157">
        <f t="shared" si="3"/>
        <v>0</v>
      </c>
      <c r="AB28" s="157">
        <f t="shared" si="3"/>
        <v>0</v>
      </c>
      <c r="AC28" s="157"/>
      <c r="AD28" s="157">
        <f t="shared" si="3"/>
        <v>0</v>
      </c>
      <c r="AE28" s="157">
        <f t="shared" ref="AE28:AJ28" si="4">ROUND(AD26-SUM(AD21:AD25),3)</f>
        <v>0</v>
      </c>
      <c r="AF28" s="157">
        <f t="shared" si="4"/>
        <v>0</v>
      </c>
      <c r="AG28" s="157">
        <f t="shared" si="4"/>
        <v>0</v>
      </c>
      <c r="AH28" s="157">
        <f t="shared" si="4"/>
        <v>0</v>
      </c>
      <c r="AI28" s="157">
        <f t="shared" si="4"/>
        <v>0</v>
      </c>
      <c r="AJ28" s="157">
        <f t="shared" si="4"/>
        <v>0</v>
      </c>
      <c r="AK28" s="157"/>
    </row>
    <row r="29" spans="1:37" collapsed="1" x14ac:dyDescent="0.2"/>
  </sheetData>
  <pageMargins left="0.39370078740157483" right="0.39370078740157483" top="0.39370078740157483" bottom="0.59055118110236227" header="0.31496062992125984" footer="0.19685039370078741"/>
  <pageSetup paperSize="9" scale="57" orientation="landscape" r:id="rId1"/>
  <headerFooter>
    <oddFooter>&amp;L&amp;"Arial Black,Normal"&amp;F - &amp;A&amp;C&amp;"Arial Black,Normal"&amp;8p. &amp;P / &amp;N&amp;R&amp;"Arial Narrow,Normal"&amp;8&amp;G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84AAA-0AB3-4E61-A249-CE0AA7FD24F7}">
  <sheetPr>
    <pageSetUpPr fitToPage="1"/>
  </sheetPr>
  <dimension ref="A1:AS25"/>
  <sheetViews>
    <sheetView showGridLines="0" topLeftCell="A3" zoomScaleNormal="100" workbookViewId="0">
      <pane xSplit="4" topLeftCell="E1" activePane="topRight" state="frozen"/>
      <selection activeCell="E17" sqref="E17"/>
      <selection pane="topRight" activeCell="L29" sqref="L29"/>
    </sheetView>
  </sheetViews>
  <sheetFormatPr defaultColWidth="9.125" defaultRowHeight="11.4" outlineLevelRow="1" outlineLevelCol="1" x14ac:dyDescent="0.2"/>
  <cols>
    <col min="1" max="1" width="41.125" style="120" hidden="1" customWidth="1" outlineLevel="1"/>
    <col min="2" max="2" width="2.75" customWidth="1" collapsed="1"/>
    <col min="3" max="3" width="46.125" customWidth="1"/>
    <col min="4" max="4" width="2.75" customWidth="1"/>
    <col min="5" max="5" width="11.625" customWidth="1"/>
    <col min="6" max="6" width="10.625" customWidth="1"/>
    <col min="7" max="7" width="2.75" customWidth="1"/>
    <col min="8" max="8" width="11.625" customWidth="1"/>
    <col min="9" max="9" width="10.625" customWidth="1"/>
    <col min="10" max="10" width="2.75" customWidth="1"/>
    <col min="11" max="11" width="11.625" customWidth="1"/>
    <col min="12" max="12" width="10.625" customWidth="1"/>
    <col min="13" max="13" width="2.75" customWidth="1"/>
    <col min="14" max="14" width="11.625" customWidth="1"/>
    <col min="15" max="15" width="10.625" customWidth="1"/>
    <col min="16" max="16" width="2.75" customWidth="1"/>
    <col min="17" max="17" width="11.625" customWidth="1"/>
    <col min="18" max="18" width="10.625" customWidth="1"/>
    <col min="19" max="19" width="2.75" customWidth="1"/>
    <col min="20" max="20" width="11.625" customWidth="1"/>
    <col min="21" max="21" width="10.625" customWidth="1"/>
    <col min="22" max="22" width="2.75" customWidth="1"/>
    <col min="23" max="23" width="11.625" customWidth="1"/>
    <col min="24" max="24" width="10.625" customWidth="1"/>
    <col min="25" max="25" width="2.75" customWidth="1"/>
    <col min="26" max="26" width="11.625" customWidth="1"/>
    <col min="27" max="27" width="10.625" customWidth="1"/>
    <col min="28" max="28" width="2.75" customWidth="1"/>
    <col min="29" max="29" width="11.625" customWidth="1"/>
    <col min="30" max="30" width="10.625" customWidth="1"/>
    <col min="31" max="31" width="2.75" customWidth="1"/>
    <col min="32" max="32" width="11.625" customWidth="1"/>
    <col min="33" max="33" width="10.625" customWidth="1"/>
    <col min="34" max="34" width="2.75" customWidth="1"/>
    <col min="35" max="35" width="11.625" customWidth="1"/>
    <col min="36" max="36" width="10.625" customWidth="1"/>
    <col min="37" max="37" width="2.75" customWidth="1"/>
    <col min="38" max="38" width="11.625" customWidth="1"/>
    <col min="39" max="39" width="10.625" customWidth="1"/>
    <col min="40" max="40" width="2.875" customWidth="1"/>
    <col min="41" max="41" width="11.625" customWidth="1"/>
    <col min="42" max="42" width="10.625" customWidth="1"/>
    <col min="43" max="43" width="2.875" customWidth="1"/>
    <col min="44" max="44" width="11.625" customWidth="1"/>
    <col min="45" max="45" width="10.625" customWidth="1"/>
  </cols>
  <sheetData>
    <row r="1" spans="1:45" s="78" customFormat="1" ht="15.6" hidden="1" outlineLevel="1" x14ac:dyDescent="0.45">
      <c r="A1" s="75"/>
      <c r="B1" s="79"/>
      <c r="D1" s="79"/>
      <c r="E1" s="82" t="str" cm="1">
        <f t="array" ref="E1">YEAR(E$2)&amp;INDEX(TableYtd,MONTH(E$2),1)</f>
        <v>2026Mar</v>
      </c>
      <c r="F1" s="76" t="str">
        <f>E1&amp;"_%Capital"</f>
        <v>2026Mar_%Capital</v>
      </c>
      <c r="G1" s="80"/>
      <c r="H1" s="82" t="str" cm="1">
        <f t="array" ref="H1">YEAR(H$2)&amp;INDEX(TableYtd,MONTH(H$2),1)</f>
        <v>2025Dec</v>
      </c>
      <c r="I1" s="76" t="str">
        <f>H1&amp;"_%Capital"</f>
        <v>2025Dec_%Capital</v>
      </c>
      <c r="J1" s="76"/>
      <c r="K1" s="82" t="str" cm="1">
        <f t="array" ref="K1">YEAR(K$2)&amp;INDEX(TableYtd,MONTH(K$2),1)</f>
        <v>2025Sep</v>
      </c>
      <c r="L1" s="76" t="str">
        <f>K1&amp;"_%Capital"</f>
        <v>2025Sep_%Capital</v>
      </c>
      <c r="M1" s="76"/>
      <c r="N1" s="82" t="str" cm="1">
        <f t="array" ref="N1">YEAR(N$2)&amp;INDEX(TableYtd,MONTH(N$2),1)</f>
        <v>2025Jun</v>
      </c>
      <c r="O1" s="76" t="str">
        <f>N1&amp;"_%Capital"</f>
        <v>2025Jun_%Capital</v>
      </c>
      <c r="P1" s="76"/>
      <c r="Q1" s="82" t="str" cm="1">
        <f t="array" ref="Q1">YEAR(Q$2)&amp;INDEX(TableYtd,MONTH(Q$2),1)</f>
        <v>2025Mar</v>
      </c>
      <c r="R1" s="76" t="str">
        <f>Q1&amp;"_%Capital"</f>
        <v>2025Mar_%Capital</v>
      </c>
      <c r="S1" s="76"/>
      <c r="T1" s="82" t="str" cm="1">
        <f t="array" ref="T1">YEAR(T$2)&amp;INDEX(TableYtd,MONTH(T$2),1)</f>
        <v>2024Dec</v>
      </c>
      <c r="U1" s="76" t="str">
        <f>T1&amp;"_%Capital"</f>
        <v>2024Dec_%Capital</v>
      </c>
      <c r="V1" s="76"/>
      <c r="W1" s="82" t="str" cm="1">
        <f t="array" ref="W1">YEAR(W$2)&amp;INDEX(TableYtd,MONTH(W$2),1)</f>
        <v>2024Sep</v>
      </c>
      <c r="X1" s="76" t="str">
        <f>W1&amp;"_%Capital"</f>
        <v>2024Sep_%Capital</v>
      </c>
      <c r="Y1" s="76"/>
      <c r="Z1" s="82" t="str" cm="1">
        <f t="array" ref="Z1">YEAR(Z$2)&amp;INDEX(TableYtd,MONTH(Z$2),1)</f>
        <v>2024Jun</v>
      </c>
      <c r="AA1" s="76" t="str">
        <f>Z1&amp;"_%Capital"</f>
        <v>2024Jun_%Capital</v>
      </c>
      <c r="AB1" s="76"/>
      <c r="AC1" s="82" t="str" cm="1">
        <f t="array" ref="AC1">YEAR(AC$2)&amp;INDEX(TableYtd,MONTH(AC$2),1)</f>
        <v>2024Mar</v>
      </c>
      <c r="AD1" s="76" t="str">
        <f>AC1&amp;"_%Capital"</f>
        <v>2024Mar_%Capital</v>
      </c>
      <c r="AE1" s="76"/>
      <c r="AF1" s="82" t="str" cm="1">
        <f t="array" ref="AF1">YEAR(AF$2)&amp;INDEX(TableYtd,MONTH(AF$2),1)</f>
        <v>2023Dec</v>
      </c>
      <c r="AG1" s="76" t="str">
        <f>AF1&amp;"_%Capital"</f>
        <v>2023Dec_%Capital</v>
      </c>
      <c r="AH1" s="76"/>
      <c r="AI1" s="82" t="str" cm="1">
        <f t="array" ref="AI1">YEAR(AI$2)&amp;INDEX(TableYtd,MONTH(AI$2),1)</f>
        <v>2023Sep</v>
      </c>
      <c r="AJ1" s="76" t="str">
        <f>AI1&amp;"_%Capital"</f>
        <v>2023Sep_%Capital</v>
      </c>
      <c r="AK1" s="76"/>
      <c r="AL1" s="82" t="str" cm="1">
        <f t="array" ref="AL1">YEAR(AL$2)&amp;INDEX(TableYtd,MONTH(AL$2),1)</f>
        <v>2023Jun</v>
      </c>
      <c r="AM1" s="76" t="str">
        <f>AL1&amp;"_%Capital"</f>
        <v>2023Jun_%Capital</v>
      </c>
      <c r="AN1" s="76"/>
      <c r="AO1" s="82" t="str" cm="1">
        <f t="array" ref="AO1">YEAR(AO$2)&amp;INDEX(TableYtd,MONTH(AO$2),1)</f>
        <v>2023Mar</v>
      </c>
      <c r="AP1" s="76" t="str">
        <f>AO1&amp;"_%Capital"</f>
        <v>2023Mar_%Capital</v>
      </c>
      <c r="AQ1" s="76"/>
      <c r="AR1" s="82" t="str" cm="1">
        <f t="array" ref="AR1">YEAR(AR$2)&amp;INDEX(TableYtd,MONTH(AR$2),1)</f>
        <v>2022Dec</v>
      </c>
      <c r="AS1" s="76" t="str">
        <f>AR1&amp;"_%Capital"</f>
        <v>2022Dec_%Capital</v>
      </c>
    </row>
    <row r="2" spans="1:45" hidden="1" outlineLevel="1" x14ac:dyDescent="0.2">
      <c r="A2" s="75"/>
      <c r="E2" s="81">
        <f>DateRef</f>
        <v>46112</v>
      </c>
      <c r="H2" s="81">
        <f>EOMONTH(E2,-3)</f>
        <v>46022</v>
      </c>
      <c r="K2" s="81">
        <f>EOMONTH(H2,-3)</f>
        <v>45930</v>
      </c>
      <c r="N2" s="81">
        <f>EOMONTH(K2,-3)</f>
        <v>45838</v>
      </c>
      <c r="Q2" s="81">
        <f>EOMONTH(N2,-3)</f>
        <v>45747</v>
      </c>
      <c r="T2" s="81">
        <f>EOMONTH(Q2,-3)</f>
        <v>45657</v>
      </c>
      <c r="W2" s="81">
        <f>EOMONTH(T2,-3)</f>
        <v>45565</v>
      </c>
      <c r="Z2" s="81">
        <f>EOMONTH(W2,-3)</f>
        <v>45473</v>
      </c>
      <c r="AC2" s="81">
        <f>EOMONTH(Z2,-3)</f>
        <v>45382</v>
      </c>
      <c r="AF2" s="81">
        <f>EOMONTH(AC2,-3)</f>
        <v>45291</v>
      </c>
      <c r="AI2" s="81">
        <f>EOMONTH(AF2,-3)</f>
        <v>45199</v>
      </c>
      <c r="AL2" s="81">
        <f>EOMONTH(AI2,-3)</f>
        <v>45107</v>
      </c>
      <c r="AO2" s="81">
        <f>EOMONTH(AL2,-3)</f>
        <v>45016</v>
      </c>
      <c r="AR2" s="81">
        <f>EOMONTH(AO2,-3)</f>
        <v>44926</v>
      </c>
    </row>
    <row r="3" spans="1:45" collapsed="1" x14ac:dyDescent="0.2">
      <c r="A3" s="75"/>
    </row>
    <row r="4" spans="1:45" x14ac:dyDescent="0.2">
      <c r="A4" s="75"/>
    </row>
    <row r="5" spans="1:45" ht="17.399999999999999" x14ac:dyDescent="0.3">
      <c r="C5" s="77" t="s">
        <v>145</v>
      </c>
      <c r="E5" s="90">
        <f>DateRef</f>
        <v>46112</v>
      </c>
      <c r="F5" s="91"/>
      <c r="N5" s="77"/>
      <c r="T5" s="77" t="s">
        <v>268</v>
      </c>
    </row>
    <row r="6" spans="1:45" ht="17.399999999999999" x14ac:dyDescent="0.3">
      <c r="C6" s="77"/>
      <c r="N6" s="77"/>
      <c r="Q6" s="77"/>
    </row>
    <row r="7" spans="1:45" ht="20.100000000000001" customHeight="1" x14ac:dyDescent="0.25">
      <c r="A7" s="75"/>
      <c r="B7" s="120"/>
      <c r="D7" s="120"/>
      <c r="E7" s="174">
        <f>E2</f>
        <v>46112</v>
      </c>
      <c r="F7" s="174"/>
      <c r="H7" s="121">
        <f>H2</f>
        <v>46022</v>
      </c>
      <c r="I7" s="122"/>
      <c r="J7" s="120"/>
      <c r="K7" s="174">
        <f>K2</f>
        <v>45930</v>
      </c>
      <c r="L7" s="174"/>
      <c r="M7" s="120"/>
      <c r="N7" s="174">
        <f>N2</f>
        <v>45838</v>
      </c>
      <c r="O7" s="180"/>
      <c r="P7" s="120"/>
      <c r="Q7" s="174">
        <f>Q2</f>
        <v>45747</v>
      </c>
      <c r="R7" s="174"/>
      <c r="S7" s="120"/>
      <c r="T7" s="121">
        <f>T2</f>
        <v>45657</v>
      </c>
      <c r="U7" s="122"/>
      <c r="V7" s="120"/>
      <c r="W7" s="174">
        <f>W2</f>
        <v>45565</v>
      </c>
      <c r="X7" s="174"/>
      <c r="Y7" s="120"/>
      <c r="Z7" s="174">
        <f>Z2</f>
        <v>45473</v>
      </c>
      <c r="AA7" s="180"/>
      <c r="AB7" s="120"/>
      <c r="AC7" s="174">
        <f>AC2</f>
        <v>45382</v>
      </c>
      <c r="AD7" s="180"/>
      <c r="AE7" s="120"/>
      <c r="AF7" s="121">
        <f>AF2</f>
        <v>45291</v>
      </c>
      <c r="AG7" s="122"/>
      <c r="AH7" s="120"/>
      <c r="AI7" s="174">
        <f>AI2</f>
        <v>45199</v>
      </c>
      <c r="AJ7" s="174"/>
      <c r="AK7" s="120"/>
      <c r="AL7" s="174">
        <f>AL2</f>
        <v>45107</v>
      </c>
      <c r="AM7" s="174"/>
      <c r="AN7" s="120"/>
      <c r="AO7" s="174">
        <f>AO2</f>
        <v>45016</v>
      </c>
      <c r="AP7" s="174"/>
      <c r="AQ7" s="120"/>
      <c r="AR7" s="121">
        <f>AR2</f>
        <v>44926</v>
      </c>
      <c r="AS7" s="122"/>
    </row>
    <row r="8" spans="1:45" ht="31.5" customHeight="1" x14ac:dyDescent="0.25">
      <c r="A8" s="75"/>
      <c r="B8" s="120"/>
      <c r="C8" s="123" t="s">
        <v>140</v>
      </c>
      <c r="D8" s="120"/>
      <c r="E8" s="175" t="s">
        <v>134</v>
      </c>
      <c r="F8" s="175" t="s">
        <v>135</v>
      </c>
      <c r="H8" s="124" t="s">
        <v>134</v>
      </c>
      <c r="I8" s="124" t="s">
        <v>135</v>
      </c>
      <c r="J8" s="120"/>
      <c r="K8" s="175" t="s">
        <v>134</v>
      </c>
      <c r="L8" s="175" t="s">
        <v>135</v>
      </c>
      <c r="M8" s="120"/>
      <c r="N8" s="175" t="s">
        <v>134</v>
      </c>
      <c r="O8" s="175" t="s">
        <v>135</v>
      </c>
      <c r="P8" s="120"/>
      <c r="Q8" s="175" t="s">
        <v>134</v>
      </c>
      <c r="R8" s="175" t="s">
        <v>135</v>
      </c>
      <c r="S8" s="120"/>
      <c r="T8" s="124" t="s">
        <v>134</v>
      </c>
      <c r="U8" s="124" t="s">
        <v>135</v>
      </c>
      <c r="V8" s="120"/>
      <c r="W8" s="175" t="s">
        <v>134</v>
      </c>
      <c r="X8" s="175" t="s">
        <v>135</v>
      </c>
      <c r="Y8" s="120"/>
      <c r="Z8" s="175" t="s">
        <v>134</v>
      </c>
      <c r="AA8" s="175" t="s">
        <v>135</v>
      </c>
      <c r="AB8" s="120"/>
      <c r="AC8" s="175" t="s">
        <v>134</v>
      </c>
      <c r="AD8" s="175" t="s">
        <v>135</v>
      </c>
      <c r="AE8" s="120"/>
      <c r="AF8" s="124" t="s">
        <v>134</v>
      </c>
      <c r="AG8" s="124" t="s">
        <v>135</v>
      </c>
      <c r="AH8" s="120"/>
      <c r="AI8" s="175" t="s">
        <v>134</v>
      </c>
      <c r="AJ8" s="175" t="s">
        <v>135</v>
      </c>
      <c r="AK8" s="120"/>
      <c r="AL8" s="175" t="s">
        <v>134</v>
      </c>
      <c r="AM8" s="175" t="s">
        <v>135</v>
      </c>
      <c r="AN8" s="120"/>
      <c r="AO8" s="175" t="s">
        <v>134</v>
      </c>
      <c r="AP8" s="175" t="s">
        <v>135</v>
      </c>
      <c r="AQ8" s="120"/>
      <c r="AR8" s="124" t="s">
        <v>134</v>
      </c>
      <c r="AS8" s="124" t="s">
        <v>135</v>
      </c>
    </row>
    <row r="9" spans="1:45" x14ac:dyDescent="0.2">
      <c r="A9" s="75" t="s">
        <v>127</v>
      </c>
      <c r="B9" s="120"/>
      <c r="C9" s="125" t="s">
        <v>136</v>
      </c>
      <c r="D9" s="120"/>
      <c r="E9" s="126">
        <v>141057399</v>
      </c>
      <c r="F9" s="127">
        <v>0.68346291023175632</v>
      </c>
      <c r="H9" s="126">
        <v>141057399</v>
      </c>
      <c r="I9" s="127">
        <v>0.68346291023175632</v>
      </c>
      <c r="J9" s="120"/>
      <c r="K9" s="126">
        <v>141057399</v>
      </c>
      <c r="L9" s="127">
        <v>0.68668048763606204</v>
      </c>
      <c r="M9" s="120"/>
      <c r="N9" s="126">
        <v>141057399</v>
      </c>
      <c r="O9" s="127">
        <v>0.68668048763606204</v>
      </c>
      <c r="P9" s="120"/>
      <c r="Q9" s="126">
        <v>141057399</v>
      </c>
      <c r="R9" s="127">
        <v>0.68668048763606204</v>
      </c>
      <c r="S9" s="120"/>
      <c r="T9" s="126">
        <v>141057399</v>
      </c>
      <c r="U9" s="127">
        <v>0.68668048763606204</v>
      </c>
      <c r="V9" s="120"/>
      <c r="W9" s="126">
        <v>141057399</v>
      </c>
      <c r="X9" s="127">
        <v>0.6892696301585387</v>
      </c>
      <c r="Y9" s="120"/>
      <c r="Z9" s="126">
        <v>141057399</v>
      </c>
      <c r="AA9" s="127">
        <v>0.6892696301585387</v>
      </c>
      <c r="AB9" s="120"/>
      <c r="AC9" s="126">
        <v>141057399</v>
      </c>
      <c r="AD9" s="127">
        <v>0.6892696301585387</v>
      </c>
      <c r="AE9" s="120"/>
      <c r="AF9" s="126">
        <v>141057399</v>
      </c>
      <c r="AG9" s="127">
        <v>0.6892696301585387</v>
      </c>
      <c r="AH9" s="120"/>
      <c r="AI9" s="126">
        <v>141057399</v>
      </c>
      <c r="AJ9" s="127">
        <v>0.6892696301585387</v>
      </c>
      <c r="AK9" s="120"/>
      <c r="AL9" s="126">
        <v>141057399</v>
      </c>
      <c r="AM9" s="127">
        <v>0.69193224937150655</v>
      </c>
      <c r="AN9" s="120"/>
      <c r="AO9" s="126">
        <v>141057399</v>
      </c>
      <c r="AP9" s="127">
        <v>0.69193224937150655</v>
      </c>
      <c r="AQ9" s="120"/>
      <c r="AR9" s="126">
        <v>141057399</v>
      </c>
      <c r="AS9" s="127">
        <v>0.69193224937150655</v>
      </c>
    </row>
    <row r="10" spans="1:45" x14ac:dyDescent="0.2">
      <c r="A10" s="128" t="s">
        <v>128</v>
      </c>
      <c r="B10" s="120"/>
      <c r="C10" s="125" t="s">
        <v>137</v>
      </c>
      <c r="D10" s="120"/>
      <c r="E10" s="126">
        <v>4749716</v>
      </c>
      <c r="F10" s="127">
        <v>2.3013714581071616E-2</v>
      </c>
      <c r="H10" s="126">
        <v>4990841</v>
      </c>
      <c r="I10" s="127">
        <v>2.4182033261253944E-2</v>
      </c>
      <c r="J10" s="120"/>
      <c r="K10" s="126">
        <v>4221408</v>
      </c>
      <c r="L10" s="127">
        <v>2.0550205267507973E-2</v>
      </c>
      <c r="M10" s="120"/>
      <c r="N10" s="126">
        <v>4398054</v>
      </c>
      <c r="O10" s="127">
        <v>2.1410134362180699E-2</v>
      </c>
      <c r="P10" s="120"/>
      <c r="Q10" s="126">
        <v>4128079</v>
      </c>
      <c r="R10" s="127">
        <v>2.0095871048353781E-2</v>
      </c>
      <c r="S10" s="120"/>
      <c r="T10" s="126">
        <v>4272132</v>
      </c>
      <c r="U10" s="127">
        <v>2.0797134399207412E-2</v>
      </c>
      <c r="V10" s="120"/>
      <c r="W10" s="126">
        <v>2751891</v>
      </c>
      <c r="X10" s="127">
        <v>1.3446971979162975E-2</v>
      </c>
      <c r="Y10" s="120"/>
      <c r="Z10" s="126">
        <v>2879073</v>
      </c>
      <c r="AA10" s="127">
        <v>1.4068440195111174E-2</v>
      </c>
      <c r="AB10" s="120"/>
      <c r="AC10" s="126">
        <v>2869026</v>
      </c>
      <c r="AD10" s="127">
        <v>1.4019346053128569E-2</v>
      </c>
      <c r="AE10" s="120"/>
      <c r="AF10" s="126">
        <v>2918391</v>
      </c>
      <c r="AG10" s="127">
        <v>1.4260565553374538E-2</v>
      </c>
      <c r="AH10" s="120"/>
      <c r="AI10" s="126">
        <v>3042292</v>
      </c>
      <c r="AJ10" s="127">
        <v>1.486600133378527E-2</v>
      </c>
      <c r="AK10" s="120"/>
      <c r="AL10" s="126">
        <v>2319318</v>
      </c>
      <c r="AM10" s="127">
        <v>1.1377006325969642E-2</v>
      </c>
      <c r="AN10" s="120"/>
      <c r="AO10" s="126">
        <v>2238508</v>
      </c>
      <c r="AP10" s="127">
        <v>1.0980607090848971E-2</v>
      </c>
      <c r="AQ10" s="120"/>
      <c r="AR10" s="126">
        <v>2279907</v>
      </c>
      <c r="AS10" s="127">
        <v>1.118368260049828E-2</v>
      </c>
    </row>
    <row r="11" spans="1:45" x14ac:dyDescent="0.2">
      <c r="A11" s="128" t="s">
        <v>129</v>
      </c>
      <c r="B11" s="120"/>
      <c r="C11" s="125" t="s">
        <v>138</v>
      </c>
      <c r="D11" s="120"/>
      <c r="E11" s="126">
        <v>3163929</v>
      </c>
      <c r="F11" s="127">
        <v>1.5330128993138818E-2</v>
      </c>
      <c r="H11" s="126">
        <v>1631846</v>
      </c>
      <c r="I11" s="127">
        <v>7.9067544426368631E-3</v>
      </c>
      <c r="J11" s="120"/>
      <c r="K11" s="126">
        <v>1651188</v>
      </c>
      <c r="L11" s="127">
        <v>8.0381361705018691E-3</v>
      </c>
      <c r="M11" s="120"/>
      <c r="N11" s="126">
        <v>1625258</v>
      </c>
      <c r="O11" s="127">
        <v>7.9119065280255953E-3</v>
      </c>
      <c r="P11" s="120"/>
      <c r="Q11" s="126">
        <v>1961141</v>
      </c>
      <c r="R11" s="127">
        <v>9.5470160923857277E-3</v>
      </c>
      <c r="S11" s="120"/>
      <c r="T11" s="126">
        <v>1992485</v>
      </c>
      <c r="U11" s="127">
        <v>9.6996015884819996E-3</v>
      </c>
      <c r="V11" s="120"/>
      <c r="W11" s="126">
        <v>958031</v>
      </c>
      <c r="X11" s="127">
        <v>4.6813685615344084E-3</v>
      </c>
      <c r="Y11" s="120"/>
      <c r="Z11" s="126">
        <v>963625</v>
      </c>
      <c r="AA11" s="127">
        <v>4.7087033510487594E-3</v>
      </c>
      <c r="AB11" s="120"/>
      <c r="AC11" s="126">
        <v>1259079</v>
      </c>
      <c r="AD11" s="127">
        <v>6.1524239268752065E-3</v>
      </c>
      <c r="AE11" s="120"/>
      <c r="AF11" s="126">
        <v>1247998</v>
      </c>
      <c r="AG11" s="127">
        <v>6.0982771977710721E-3</v>
      </c>
      <c r="AH11" s="120"/>
      <c r="AI11" s="126">
        <v>1297231</v>
      </c>
      <c r="AJ11" s="127">
        <v>6.3388516868951436E-3</v>
      </c>
      <c r="AK11" s="120"/>
      <c r="AL11" s="126">
        <v>1315690</v>
      </c>
      <c r="AM11" s="127">
        <v>6.4538857772047636E-3</v>
      </c>
      <c r="AN11" s="120"/>
      <c r="AO11" s="126">
        <v>1331680</v>
      </c>
      <c r="AP11" s="127">
        <v>6.5323219084951929E-3</v>
      </c>
      <c r="AQ11" s="120"/>
      <c r="AR11" s="126">
        <v>1343479</v>
      </c>
      <c r="AS11" s="127">
        <v>6.5901998267625956E-3</v>
      </c>
    </row>
    <row r="12" spans="1:45" x14ac:dyDescent="0.2">
      <c r="A12" s="128" t="s">
        <v>130</v>
      </c>
      <c r="B12" s="120"/>
      <c r="C12" s="125" t="s">
        <v>139</v>
      </c>
      <c r="D12" s="120"/>
      <c r="E12" s="126">
        <v>57415282</v>
      </c>
      <c r="F12" s="127">
        <v>0.27819324619403324</v>
      </c>
      <c r="H12" s="126">
        <v>58706240</v>
      </c>
      <c r="I12" s="127">
        <v>0.28444830206435284</v>
      </c>
      <c r="J12" s="120"/>
      <c r="K12" s="126">
        <v>58489267</v>
      </c>
      <c r="L12" s="127">
        <v>0.28473117092592809</v>
      </c>
      <c r="M12" s="120"/>
      <c r="N12" s="126">
        <v>58338551</v>
      </c>
      <c r="O12" s="127">
        <v>0.28399747147373161</v>
      </c>
      <c r="P12" s="120"/>
      <c r="Q12" s="126">
        <v>58272643</v>
      </c>
      <c r="R12" s="127">
        <v>0.28367662522319842</v>
      </c>
      <c r="S12" s="120"/>
      <c r="T12" s="126">
        <v>58097246</v>
      </c>
      <c r="U12" s="127">
        <v>0.28282277637624847</v>
      </c>
      <c r="V12" s="120"/>
      <c r="W12" s="126">
        <v>59880313</v>
      </c>
      <c r="X12" s="127">
        <v>0.29260202930076384</v>
      </c>
      <c r="Y12" s="120"/>
      <c r="Z12" s="126">
        <v>59747537</v>
      </c>
      <c r="AA12" s="127">
        <v>0.29195322629530129</v>
      </c>
      <c r="AB12" s="120"/>
      <c r="AC12" s="126">
        <v>59462130</v>
      </c>
      <c r="AD12" s="127">
        <v>0.29055859986145749</v>
      </c>
      <c r="AE12" s="120"/>
      <c r="AF12" s="126">
        <v>59423846</v>
      </c>
      <c r="AG12" s="127">
        <v>0.29037152709031566</v>
      </c>
      <c r="AH12" s="120"/>
      <c r="AI12" s="126">
        <v>59250712</v>
      </c>
      <c r="AJ12" s="127">
        <v>0.28952551682078081</v>
      </c>
      <c r="AK12" s="120"/>
      <c r="AL12" s="126">
        <v>59167724</v>
      </c>
      <c r="AM12" s="127">
        <v>0.290236858525319</v>
      </c>
      <c r="AN12" s="120"/>
      <c r="AO12" s="126">
        <v>59232544</v>
      </c>
      <c r="AP12" s="127">
        <v>0.29055482162914925</v>
      </c>
      <c r="AQ12" s="120"/>
      <c r="AR12" s="126">
        <v>59179346</v>
      </c>
      <c r="AS12" s="127">
        <v>0.29029386820123254</v>
      </c>
    </row>
    <row r="13" spans="1:45" ht="18" customHeight="1" x14ac:dyDescent="0.2">
      <c r="A13" s="75" t="s">
        <v>131</v>
      </c>
      <c r="B13" s="120"/>
      <c r="C13" s="822" t="s">
        <v>141</v>
      </c>
      <c r="D13" s="120"/>
      <c r="E13" s="176">
        <f>SUM(E9:E12)</f>
        <v>206386326</v>
      </c>
      <c r="F13" s="177">
        <f>SUM(F9:F12)</f>
        <v>1</v>
      </c>
      <c r="H13" s="132">
        <f>SUM(H9:H12)</f>
        <v>206386326</v>
      </c>
      <c r="I13" s="133">
        <f>SUM(I9:I12)</f>
        <v>1</v>
      </c>
      <c r="J13" s="120"/>
      <c r="K13" s="176">
        <f>SUM(K9:K12)</f>
        <v>205419262</v>
      </c>
      <c r="L13" s="177">
        <f>SUM(L9:L12)</f>
        <v>1</v>
      </c>
      <c r="M13" s="120"/>
      <c r="N13" s="176">
        <f>SUM(N9:N12)</f>
        <v>205419262</v>
      </c>
      <c r="O13" s="177">
        <f>SUM(O9:O12)</f>
        <v>1</v>
      </c>
      <c r="P13" s="120"/>
      <c r="Q13" s="176">
        <f>SUM(Q9:Q12)</f>
        <v>205419262</v>
      </c>
      <c r="R13" s="177">
        <f>SUM(R9:R12)</f>
        <v>1</v>
      </c>
      <c r="S13" s="120"/>
      <c r="T13" s="132">
        <f>SUM(T9:T12)</f>
        <v>205419262</v>
      </c>
      <c r="U13" s="133">
        <f>SUM(U9:U12)</f>
        <v>1</v>
      </c>
      <c r="V13" s="120"/>
      <c r="W13" s="176">
        <f>SUM(W9:W12)</f>
        <v>204647634</v>
      </c>
      <c r="X13" s="177">
        <f>SUM(X9:X12)</f>
        <v>1</v>
      </c>
      <c r="Y13" s="120"/>
      <c r="Z13" s="176">
        <f>SUM(Z9:Z12)</f>
        <v>204647634</v>
      </c>
      <c r="AA13" s="177">
        <f>SUM(AA9:AA12)</f>
        <v>1</v>
      </c>
      <c r="AB13" s="120"/>
      <c r="AC13" s="176">
        <f>SUM(AC9:AC12)</f>
        <v>204647634</v>
      </c>
      <c r="AD13" s="177">
        <f>SUM(AD9:AD12)</f>
        <v>1</v>
      </c>
      <c r="AE13" s="120"/>
      <c r="AF13" s="132">
        <f>SUM(AF9:AF12)</f>
        <v>204647634</v>
      </c>
      <c r="AG13" s="133">
        <f>SUM(AG9:AG12)</f>
        <v>1</v>
      </c>
      <c r="AH13" s="120"/>
      <c r="AI13" s="176">
        <f>SUM(AI9:AI12)</f>
        <v>204647634</v>
      </c>
      <c r="AJ13" s="177">
        <f>SUM(AJ9:AJ12)</f>
        <v>1</v>
      </c>
      <c r="AK13" s="120"/>
      <c r="AL13" s="176">
        <f>SUM(AL9:AL12)</f>
        <v>203860131</v>
      </c>
      <c r="AM13" s="177">
        <f>SUM(AM9:AM12)</f>
        <v>0.99999999999999989</v>
      </c>
      <c r="AN13" s="120"/>
      <c r="AO13" s="176">
        <f>SUM(AO9:AO12)</f>
        <v>203860131</v>
      </c>
      <c r="AP13" s="177">
        <f>SUM(AP9:AP12)</f>
        <v>0.99999999999999989</v>
      </c>
      <c r="AQ13" s="120"/>
      <c r="AR13" s="132">
        <f>SUM(AR9:AR12)</f>
        <v>203860131</v>
      </c>
      <c r="AS13" s="133">
        <f>SUM(AS9:AS12)</f>
        <v>1</v>
      </c>
    </row>
    <row r="14" spans="1:45" ht="15" customHeight="1" x14ac:dyDescent="0.25">
      <c r="A14" s="75" t="s">
        <v>132</v>
      </c>
      <c r="B14" s="120"/>
      <c r="C14" s="823" t="s">
        <v>142</v>
      </c>
      <c r="D14" s="120"/>
      <c r="E14" s="178">
        <v>206386326</v>
      </c>
      <c r="F14" s="179"/>
      <c r="H14" s="130">
        <v>205663015.11780822</v>
      </c>
      <c r="I14" s="129"/>
      <c r="J14" s="120"/>
      <c r="K14" s="178">
        <v>205419262</v>
      </c>
      <c r="L14" s="179"/>
      <c r="M14" s="120"/>
      <c r="N14" s="178">
        <v>205419262</v>
      </c>
      <c r="O14" s="179"/>
      <c r="P14" s="120"/>
      <c r="Q14" s="178">
        <v>205419262</v>
      </c>
      <c r="R14" s="179"/>
      <c r="S14" s="120"/>
      <c r="T14" s="130">
        <v>204841595.13661203</v>
      </c>
      <c r="U14" s="129"/>
      <c r="V14" s="120"/>
      <c r="W14" s="178">
        <v>204647634</v>
      </c>
      <c r="X14" s="179"/>
      <c r="Y14" s="120"/>
      <c r="Z14" s="178">
        <v>204647634</v>
      </c>
      <c r="AA14" s="179"/>
      <c r="AB14" s="120"/>
      <c r="AC14" s="178">
        <v>204647634</v>
      </c>
      <c r="AD14" s="179"/>
      <c r="AE14" s="120"/>
      <c r="AF14" s="130">
        <v>204201022.70958903</v>
      </c>
      <c r="AG14" s="129"/>
      <c r="AH14" s="120"/>
      <c r="AI14" s="178">
        <v>204050516.34065935</v>
      </c>
      <c r="AJ14" s="179"/>
      <c r="AK14" s="120"/>
      <c r="AL14" s="178">
        <v>203860131</v>
      </c>
      <c r="AM14" s="179"/>
      <c r="AN14" s="120"/>
      <c r="AO14" s="178">
        <v>203860131</v>
      </c>
      <c r="AP14" s="179"/>
      <c r="AQ14" s="120"/>
      <c r="AR14" s="130">
        <v>203414667.00000003</v>
      </c>
      <c r="AS14" s="129"/>
    </row>
    <row r="15" spans="1:45" ht="15" customHeight="1" x14ac:dyDescent="0.25">
      <c r="A15" s="75" t="s">
        <v>133</v>
      </c>
      <c r="B15" s="120"/>
      <c r="C15" s="823" t="s">
        <v>143</v>
      </c>
      <c r="D15" s="120"/>
      <c r="E15" s="178">
        <v>206386326</v>
      </c>
      <c r="F15" s="179"/>
      <c r="H15" s="130">
        <v>206386326</v>
      </c>
      <c r="I15" s="129"/>
      <c r="J15" s="120"/>
      <c r="K15" s="178">
        <v>205419262</v>
      </c>
      <c r="L15" s="179"/>
      <c r="M15" s="120"/>
      <c r="N15" s="178">
        <v>205419262</v>
      </c>
      <c r="O15" s="179"/>
      <c r="P15" s="120"/>
      <c r="Q15" s="178">
        <v>205419262</v>
      </c>
      <c r="R15" s="179"/>
      <c r="S15" s="120"/>
      <c r="T15" s="130">
        <v>205419262</v>
      </c>
      <c r="U15" s="129"/>
      <c r="V15" s="120"/>
      <c r="W15" s="178">
        <v>204647634</v>
      </c>
      <c r="X15" s="179"/>
      <c r="Y15" s="120"/>
      <c r="Z15" s="178">
        <v>204647634</v>
      </c>
      <c r="AA15" s="179"/>
      <c r="AB15" s="120"/>
      <c r="AC15" s="178">
        <v>204647634</v>
      </c>
      <c r="AD15" s="179"/>
      <c r="AE15" s="120"/>
      <c r="AF15" s="130">
        <v>204647634</v>
      </c>
      <c r="AG15" s="129"/>
      <c r="AH15" s="120"/>
      <c r="AI15" s="178">
        <v>204425078.80434781</v>
      </c>
      <c r="AJ15" s="179"/>
      <c r="AK15" s="120"/>
      <c r="AL15" s="178">
        <v>203860131</v>
      </c>
      <c r="AM15" s="179"/>
      <c r="AN15" s="120"/>
      <c r="AO15" s="178">
        <v>203860131</v>
      </c>
      <c r="AP15" s="179"/>
      <c r="AQ15" s="120"/>
      <c r="AR15" s="130">
        <v>203860131</v>
      </c>
      <c r="AS15" s="129"/>
    </row>
    <row r="16" spans="1:45" x14ac:dyDescent="0.2">
      <c r="A16" s="75"/>
      <c r="B16" s="49"/>
      <c r="C16" s="131" t="s">
        <v>144</v>
      </c>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row>
    <row r="17" spans="1:45" x14ac:dyDescent="0.2">
      <c r="A17" s="75"/>
      <c r="B17" s="49"/>
      <c r="C17" s="131"/>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row>
    <row r="18" spans="1:45" x14ac:dyDescent="0.2">
      <c r="A18" s="75"/>
      <c r="B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row>
    <row r="19" spans="1:45" x14ac:dyDescent="0.2">
      <c r="A19" s="75"/>
      <c r="B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row>
    <row r="20" spans="1:45" x14ac:dyDescent="0.2">
      <c r="A20" s="75"/>
      <c r="B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row>
    <row r="21" spans="1:45" x14ac:dyDescent="0.2">
      <c r="A21" s="75"/>
      <c r="B21" s="49"/>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row>
    <row r="22" spans="1:45" x14ac:dyDescent="0.2">
      <c r="A22" s="75"/>
    </row>
    <row r="23" spans="1:45" x14ac:dyDescent="0.2">
      <c r="A23" s="75"/>
    </row>
    <row r="24" spans="1:45" x14ac:dyDescent="0.2">
      <c r="A24" s="75"/>
    </row>
    <row r="25" spans="1:45" x14ac:dyDescent="0.2">
      <c r="A25" s="75"/>
    </row>
  </sheetData>
  <conditionalFormatting sqref="C9:C12">
    <cfRule type="expression" dxfId="14" priority="31">
      <formula>ODD(ROW())=ROW()</formula>
    </cfRule>
  </conditionalFormatting>
  <conditionalFormatting sqref="E9:F12">
    <cfRule type="expression" dxfId="13" priority="1">
      <formula>ODD(ROW())=ROW()</formula>
    </cfRule>
  </conditionalFormatting>
  <conditionalFormatting sqref="H9:I12">
    <cfRule type="expression" dxfId="12" priority="8">
      <formula>ODD(ROW())=ROW()</formula>
    </cfRule>
  </conditionalFormatting>
  <conditionalFormatting sqref="K9:L12">
    <cfRule type="expression" dxfId="11" priority="2">
      <formula>ODD(ROW())=ROW()</formula>
    </cfRule>
  </conditionalFormatting>
  <conditionalFormatting sqref="N9:O12">
    <cfRule type="expression" dxfId="10" priority="25">
      <formula>ODD(ROW())=ROW()</formula>
    </cfRule>
  </conditionalFormatting>
  <conditionalFormatting sqref="Q9:R12">
    <cfRule type="expression" dxfId="9" priority="11">
      <formula>ODD(ROW())=ROW()</formula>
    </cfRule>
  </conditionalFormatting>
  <conditionalFormatting sqref="T9:U12">
    <cfRule type="expression" dxfId="8" priority="7">
      <formula>ODD(ROW())=ROW()</formula>
    </cfRule>
  </conditionalFormatting>
  <conditionalFormatting sqref="W9:X12">
    <cfRule type="expression" dxfId="7" priority="3">
      <formula>ODD(ROW())=ROW()</formula>
    </cfRule>
  </conditionalFormatting>
  <conditionalFormatting sqref="Z9:AA12">
    <cfRule type="expression" dxfId="6" priority="23">
      <formula>ODD(ROW())=ROW()</formula>
    </cfRule>
  </conditionalFormatting>
  <conditionalFormatting sqref="AC9:AD12">
    <cfRule type="expression" dxfId="5" priority="13">
      <formula>ODD(ROW())=ROW()</formula>
    </cfRule>
  </conditionalFormatting>
  <conditionalFormatting sqref="AF9:AG12">
    <cfRule type="expression" dxfId="4" priority="6">
      <formula>ODD(ROW())=ROW()</formula>
    </cfRule>
  </conditionalFormatting>
  <conditionalFormatting sqref="AI9:AJ12">
    <cfRule type="expression" dxfId="3" priority="4">
      <formula>ODD(ROW())=ROW()</formula>
    </cfRule>
  </conditionalFormatting>
  <conditionalFormatting sqref="AL9:AM12">
    <cfRule type="expression" dxfId="2" priority="20">
      <formula>ODD(ROW())=ROW()</formula>
    </cfRule>
  </conditionalFormatting>
  <conditionalFormatting sqref="AO9:AP12">
    <cfRule type="expression" dxfId="1" priority="14">
      <formula>ODD(ROW())=ROW()</formula>
    </cfRule>
  </conditionalFormatting>
  <conditionalFormatting sqref="AR9:AS12">
    <cfRule type="expression" dxfId="0" priority="5">
      <formula>ODD(ROW())=ROW()</formula>
    </cfRule>
  </conditionalFormatting>
  <pageMargins left="0.39370078740157483" right="0.39370078740157483" top="0.39370078740157483" bottom="0.59055118110236227" header="0.31496062992125984" footer="0.19685039370078741"/>
  <pageSetup paperSize="9" scale="89" orientation="landscape" r:id="rId1"/>
  <headerFooter>
    <oddFooter>&amp;L&amp;"Arial Black,Normal"&amp;F - &amp;A&amp;C&amp;"Arial Black,Normal"&amp;8p. &amp;P / &amp;N&amp;R&amp;"Arial Narrow,Normal"&amp;8&amp;G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25E052D2A9BC4289993D492AA209B0" ma:contentTypeVersion="1" ma:contentTypeDescription="Create a new document." ma:contentTypeScope="" ma:versionID="dd150f6d76a09de62a7a843e6bbdb72c">
  <xsd:schema xmlns:xsd="http://www.w3.org/2001/XMLSchema" xmlns:xs="http://www.w3.org/2001/XMLSchema" xmlns:p="http://schemas.microsoft.com/office/2006/metadata/properties" xmlns:ns2="5a513d69-b9c6-4e8b-a024-b71e04588924" targetNamespace="http://schemas.microsoft.com/office/2006/metadata/properties" ma:root="true" ma:fieldsID="ad7000b31f98369b1e0904c25a5cdb64" ns2:_="">
    <xsd:import namespace="5a513d69-b9c6-4e8b-a024-b71e045889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513d69-b9c6-4e8b-a024-b71e045889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F91034-08B3-4663-82A2-64513A30E3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513d69-b9c6-4e8b-a024-b71e045889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E29E5A-5EC5-48F0-9148-56FB874D1989}">
  <ds:schemaRefs>
    <ds:schemaRef ds:uri="http://schemas.microsoft.com/sharepoint/v3/contenttype/forms"/>
  </ds:schemaRefs>
</ds:datastoreItem>
</file>

<file path=customXml/itemProps3.xml><?xml version="1.0" encoding="utf-8"?>
<ds:datastoreItem xmlns:ds="http://schemas.openxmlformats.org/officeDocument/2006/customXml" ds:itemID="{23BE93CC-8184-4B4E-AB00-200BD5A31863}">
  <ds:schemaRefs>
    <ds:schemaRef ds:uri="http://www.w3.org/XML/1998/namespace"/>
    <ds:schemaRef ds:uri="http://purl.org/dc/terms/"/>
    <ds:schemaRef ds:uri="http://purl.org/dc/elements/1.1/"/>
    <ds:schemaRef ds:uri="5a513d69-b9c6-4e8b-a024-b71e04588924"/>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20</vt:i4>
      </vt:variant>
    </vt:vector>
  </HeadingPairs>
  <TitlesOfParts>
    <vt:vector size="31" baseType="lpstr">
      <vt:lpstr>Content</vt:lpstr>
      <vt:lpstr>P&amp;L &amp; Consensus</vt:lpstr>
      <vt:lpstr>Group P&amp;L (2025 pro forma)</vt:lpstr>
      <vt:lpstr>Amundi US - P&amp;L contribution</vt:lpstr>
      <vt:lpstr>Group P&amp;L (2025 Historical)</vt:lpstr>
      <vt:lpstr>Assets &amp; flows-by segments</vt:lpstr>
      <vt:lpstr>Assets &amp; flows-by asset classes</vt:lpstr>
      <vt:lpstr>Assets &amp; flows-by geographies</vt:lpstr>
      <vt:lpstr>Shareholding</vt:lpstr>
      <vt:lpstr>UPSLIDE_UndoFormatting</vt:lpstr>
      <vt:lpstr>UPSLIDE_Undo</vt:lpstr>
      <vt:lpstr>DateQ</vt:lpstr>
      <vt:lpstr>DateRef</vt:lpstr>
      <vt:lpstr>DateYtd</vt:lpstr>
      <vt:lpstr>'Amundi US - P&amp;L contribution'!Print_Area</vt:lpstr>
      <vt:lpstr>'Assets &amp; flows-by asset classes'!Print_Area</vt:lpstr>
      <vt:lpstr>'Assets &amp; flows-by geographies'!Print_Area</vt:lpstr>
      <vt:lpstr>'Assets &amp; flows-by segments'!Print_Area</vt:lpstr>
      <vt:lpstr>Content!Print_Area</vt:lpstr>
      <vt:lpstr>'Group P&amp;L (2025 Historical)'!Print_Area</vt:lpstr>
      <vt:lpstr>'Group P&amp;L (2025 pro forma)'!Print_Area</vt:lpstr>
      <vt:lpstr>'P&amp;L &amp; Consensus'!Print_Area</vt:lpstr>
      <vt:lpstr>Shareholding!Print_Area</vt:lpstr>
      <vt:lpstr>'Assets &amp; flows-by asset classes'!Print_Titles</vt:lpstr>
      <vt:lpstr>'Assets &amp; flows-by geographies'!Print_Titles</vt:lpstr>
      <vt:lpstr>'Assets &amp; flows-by segments'!Print_Titles</vt:lpstr>
      <vt:lpstr>'Group P&amp;L (2025 Historical)'!Print_Titles</vt:lpstr>
      <vt:lpstr>'Group P&amp;L (2025 pro forma)'!Print_Titles</vt:lpstr>
      <vt:lpstr>Shareholding!Print_Titles</vt:lpstr>
      <vt:lpstr>TableMonths</vt:lpstr>
      <vt:lpstr>TableYtd</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Meilland Cyril (AMUNDI)</dc:creator>
  <cp:lastModifiedBy>Cahn Adrien (AMUNDI)</cp:lastModifiedBy>
  <cp:lastPrinted>2026-04-28T13:06:11Z</cp:lastPrinted>
  <dcterms:created xsi:type="dcterms:W3CDTF">2024-12-09T08:29:45Z</dcterms:created>
  <dcterms:modified xsi:type="dcterms:W3CDTF">2026-04-28T13:23:12Z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ee938f-4a94-486a-a97b-b0ea29e4d686_Enabled">
    <vt:lpwstr>true</vt:lpwstr>
  </property>
  <property fmtid="{D5CDD505-2E9C-101B-9397-08002B2CF9AE}" pid="3" name="MSIP_Label_feee938f-4a94-486a-a97b-b0ea29e4d686_SetDate">
    <vt:lpwstr>2024-12-09T09:54:00Z</vt:lpwstr>
  </property>
  <property fmtid="{D5CDD505-2E9C-101B-9397-08002B2CF9AE}" pid="4" name="MSIP_Label_feee938f-4a94-486a-a97b-b0ea29e4d686_Method">
    <vt:lpwstr>Privileged</vt:lpwstr>
  </property>
  <property fmtid="{D5CDD505-2E9C-101B-9397-08002B2CF9AE}" pid="5" name="MSIP_Label_feee938f-4a94-486a-a97b-b0ea29e4d686_Name">
    <vt:lpwstr>C2</vt:lpwstr>
  </property>
  <property fmtid="{D5CDD505-2E9C-101B-9397-08002B2CF9AE}" pid="6" name="MSIP_Label_feee938f-4a94-486a-a97b-b0ea29e4d686_SiteId">
    <vt:lpwstr>a5c34232-eadc-4609-bff3-dd6fcdae3fe2</vt:lpwstr>
  </property>
  <property fmtid="{D5CDD505-2E9C-101B-9397-08002B2CF9AE}" pid="7" name="MSIP_Label_feee938f-4a94-486a-a97b-b0ea29e4d686_ActionId">
    <vt:lpwstr>64cc96e5-076c-4974-abef-47d21889b87a</vt:lpwstr>
  </property>
  <property fmtid="{D5CDD505-2E9C-101B-9397-08002B2CF9AE}" pid="8" name="MSIP_Label_feee938f-4a94-486a-a97b-b0ea29e4d686_ContentBits">
    <vt:lpwstr>0</vt:lpwstr>
  </property>
  <property fmtid="{D5CDD505-2E9C-101B-9397-08002B2CF9AE}" pid="9" name="ContentTypeId">
    <vt:lpwstr>0x010100F825E052D2A9BC4289993D492AA209B0</vt:lpwstr>
  </property>
</Properties>
</file>